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241\gemarcur\etude\magic\wword\12904\"/>
    </mc:Choice>
  </mc:AlternateContent>
  <xr:revisionPtr revIDLastSave="0" documentId="13_ncr:1_{550CAC56-0EE9-4358-B1FA-98E2BD7128C2}" xr6:coauthVersionLast="47" xr6:coauthVersionMax="47" xr10:uidLastSave="{00000000-0000-0000-0000-000000000000}"/>
  <bookViews>
    <workbookView xWindow="28680" yWindow="-120" windowWidth="29040" windowHeight="15720" xr2:uid="{B8B89D84-E3FD-4FA1-B7D4-8978ECE48744}"/>
  </bookViews>
  <sheets>
    <sheet name="compte de résultat" sheetId="7" r:id="rId1"/>
    <sheet name="Salaires bruts" sheetId="8" r:id="rId2"/>
    <sheet name="CA" sheetId="2" r:id="rId3"/>
    <sheet name="licenciement eco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1" i="7" l="1"/>
  <c r="F97" i="7"/>
  <c r="B83" i="7"/>
  <c r="I5" i="7"/>
  <c r="C70" i="7" l="1"/>
  <c r="D70" i="7"/>
  <c r="E70" i="7"/>
  <c r="F70" i="7"/>
  <c r="G70" i="7"/>
  <c r="B70" i="7"/>
  <c r="C16" i="2"/>
  <c r="D16" i="2"/>
  <c r="E16" i="2"/>
  <c r="F16" i="2"/>
  <c r="F46" i="8" s="1"/>
  <c r="G16" i="2"/>
  <c r="H16" i="2"/>
  <c r="B16" i="2"/>
  <c r="B46" i="8" s="1"/>
  <c r="G49" i="7"/>
  <c r="E89" i="7"/>
  <c r="E88" i="7"/>
  <c r="D3" i="7"/>
  <c r="E3" i="7"/>
  <c r="C27" i="8"/>
  <c r="B27" i="8"/>
  <c r="E43" i="8"/>
  <c r="F43" i="8"/>
  <c r="G43" i="8"/>
  <c r="D43" i="8"/>
  <c r="C43" i="8"/>
  <c r="B43" i="8"/>
  <c r="C4" i="2"/>
  <c r="B3" i="7" s="1"/>
  <c r="D4" i="2"/>
  <c r="C3" i="7" s="1"/>
  <c r="E4" i="2"/>
  <c r="F4" i="2"/>
  <c r="G4" i="2"/>
  <c r="F3" i="7" s="1"/>
  <c r="H4" i="2"/>
  <c r="G3" i="7" s="1"/>
  <c r="B4" i="2"/>
  <c r="C46" i="8"/>
  <c r="D46" i="8"/>
  <c r="E46" i="8"/>
  <c r="G46" i="8"/>
  <c r="C6" i="2"/>
  <c r="D6" i="2"/>
  <c r="E6" i="2"/>
  <c r="F6" i="2"/>
  <c r="G6" i="2"/>
  <c r="H6" i="2"/>
  <c r="B6" i="2"/>
  <c r="F44" i="8" l="1"/>
  <c r="F45" i="8" s="1"/>
  <c r="F49" i="8" s="1"/>
  <c r="F90" i="7" s="1"/>
  <c r="E44" i="8"/>
  <c r="D44" i="8"/>
  <c r="D45" i="8" s="1"/>
  <c r="D49" i="8" s="1"/>
  <c r="D90" i="7" s="1"/>
  <c r="G44" i="8"/>
  <c r="B103" i="7"/>
  <c r="C52" i="7"/>
  <c r="D52" i="7"/>
  <c r="E52" i="7"/>
  <c r="F52" i="7"/>
  <c r="G52" i="7"/>
  <c r="B52" i="7"/>
  <c r="G45" i="8" l="1"/>
  <c r="G49" i="8" s="1"/>
  <c r="G90" i="7" s="1"/>
  <c r="E45" i="8"/>
  <c r="E49" i="8" s="1"/>
  <c r="E90" i="7" s="1"/>
  <c r="G87" i="7"/>
  <c r="F87" i="7"/>
  <c r="E87" i="7"/>
  <c r="I6" i="6"/>
  <c r="I4" i="6"/>
  <c r="I3" i="6"/>
  <c r="I2" i="6"/>
  <c r="H4" i="6"/>
  <c r="H6" i="6" s="1"/>
  <c r="G6" i="6"/>
  <c r="G4" i="6"/>
  <c r="G3" i="6"/>
  <c r="G2" i="6"/>
  <c r="G46" i="7"/>
  <c r="F46" i="7"/>
  <c r="E46" i="7"/>
  <c r="D46" i="7"/>
  <c r="C46" i="7"/>
  <c r="B46" i="7"/>
  <c r="C33" i="8"/>
  <c r="C63" i="7" s="1"/>
  <c r="D33" i="8"/>
  <c r="D63" i="7" s="1"/>
  <c r="E33" i="8"/>
  <c r="E63" i="7" s="1"/>
  <c r="F33" i="8"/>
  <c r="F63" i="7" s="1"/>
  <c r="G33" i="8"/>
  <c r="G63" i="7" s="1"/>
  <c r="B33" i="8"/>
  <c r="B63" i="7" s="1"/>
  <c r="C29" i="8"/>
  <c r="D29" i="8"/>
  <c r="E29" i="8"/>
  <c r="F29" i="8"/>
  <c r="G29" i="8"/>
  <c r="B29" i="8"/>
  <c r="G16" i="8"/>
  <c r="F16" i="8"/>
  <c r="E16" i="8"/>
  <c r="D16" i="8"/>
  <c r="C16" i="8"/>
  <c r="B16" i="8"/>
  <c r="F49" i="7"/>
  <c r="E49" i="7"/>
  <c r="D49" i="7"/>
  <c r="C49" i="7"/>
  <c r="B49" i="7"/>
  <c r="C29" i="7"/>
  <c r="D29" i="7"/>
  <c r="E29" i="7"/>
  <c r="F29" i="7"/>
  <c r="G29" i="7"/>
  <c r="B29" i="7"/>
  <c r="B8" i="7"/>
  <c r="C8" i="7"/>
  <c r="D8" i="7"/>
  <c r="E8" i="7"/>
  <c r="F8" i="7"/>
  <c r="G8" i="7"/>
  <c r="B51" i="7"/>
  <c r="B53" i="7"/>
  <c r="C53" i="7"/>
  <c r="D53" i="7"/>
  <c r="E53" i="7"/>
  <c r="F53" i="7"/>
  <c r="G53" i="7"/>
  <c r="B62" i="7" l="1"/>
  <c r="B67" i="7" s="1"/>
  <c r="C62" i="7"/>
  <c r="C67" i="7" s="1"/>
  <c r="G62" i="7"/>
  <c r="G67" i="7" s="1"/>
  <c r="F62" i="7"/>
  <c r="F67" i="7" s="1"/>
  <c r="E62" i="7"/>
  <c r="E67" i="7" s="1"/>
  <c r="D62" i="7"/>
  <c r="D67" i="7" s="1"/>
  <c r="E3" i="6"/>
  <c r="E4" i="6"/>
  <c r="E2" i="6"/>
  <c r="D6" i="6"/>
  <c r="E6" i="6" s="1"/>
  <c r="F6" i="6"/>
  <c r="C6" i="6"/>
  <c r="H8" i="2"/>
  <c r="G76" i="7" l="1"/>
  <c r="G12" i="7"/>
  <c r="F12" i="7"/>
  <c r="F76" i="7"/>
  <c r="D12" i="7"/>
  <c r="D76" i="7"/>
  <c r="B5" i="7"/>
  <c r="B76" i="7"/>
  <c r="B12" i="7"/>
  <c r="E76" i="7"/>
  <c r="E12" i="7"/>
  <c r="C76" i="7"/>
  <c r="C12" i="7"/>
  <c r="C5" i="7"/>
  <c r="D5" i="7" l="1"/>
  <c r="E5" i="7" s="1"/>
  <c r="C8" i="2"/>
  <c r="D8" i="2"/>
  <c r="G8" i="2"/>
  <c r="B8" i="2"/>
  <c r="D31" i="8" l="1"/>
  <c r="D61" i="7" s="1"/>
  <c r="D92" i="7"/>
  <c r="D94" i="7" s="1"/>
  <c r="C31" i="8"/>
  <c r="C61" i="7" s="1"/>
  <c r="C66" i="7" s="1"/>
  <c r="C81" i="7" s="1"/>
  <c r="C83" i="7" s="1"/>
  <c r="C92" i="7"/>
  <c r="G31" i="8"/>
  <c r="G92" i="7"/>
  <c r="G94" i="7" s="1"/>
  <c r="B31" i="8"/>
  <c r="B92" i="7"/>
  <c r="G61" i="7"/>
  <c r="G66" i="7" s="1"/>
  <c r="G81" i="7" s="1"/>
  <c r="F5" i="7"/>
  <c r="G5" i="7"/>
  <c r="F8" i="2"/>
  <c r="E8" i="2"/>
  <c r="C45" i="8" l="1"/>
  <c r="C49" i="8" s="1"/>
  <c r="C90" i="7" s="1"/>
  <c r="C94" i="7" s="1"/>
  <c r="C97" i="7" s="1"/>
  <c r="F31" i="8"/>
  <c r="F92" i="7"/>
  <c r="F94" i="7" s="1"/>
  <c r="E31" i="8"/>
  <c r="E92" i="7"/>
  <c r="E94" i="7" s="1"/>
  <c r="B45" i="8"/>
  <c r="B49" i="8" s="1"/>
  <c r="B61" i="7"/>
  <c r="F61" i="7"/>
  <c r="F66" i="7" s="1"/>
  <c r="F81" i="7" s="1"/>
  <c r="F83" i="7" s="1"/>
  <c r="D66" i="7"/>
  <c r="D81" i="7" s="1"/>
  <c r="D83" i="7" s="1"/>
  <c r="G83" i="7"/>
  <c r="D97" i="7" l="1"/>
  <c r="G97" i="7"/>
  <c r="B90" i="7"/>
  <c r="B94" i="7" s="1"/>
  <c r="E61" i="7"/>
  <c r="B66" i="7"/>
  <c r="B81" i="7" s="1"/>
  <c r="B97" i="7" l="1"/>
  <c r="E66" i="7"/>
  <c r="E81" i="7" s="1"/>
  <c r="E83" i="7" s="1"/>
  <c r="E97" i="7" l="1"/>
</calcChain>
</file>

<file path=xl/sharedStrings.xml><?xml version="1.0" encoding="utf-8"?>
<sst xmlns="http://schemas.openxmlformats.org/spreadsheetml/2006/main" count="197" uniqueCount="188">
  <si>
    <t>libelle</t>
  </si>
  <si>
    <t>GRENKE</t>
  </si>
  <si>
    <t>TELESURE</t>
  </si>
  <si>
    <t>OVH</t>
  </si>
  <si>
    <t>TOTAL</t>
  </si>
  <si>
    <t>UPS</t>
  </si>
  <si>
    <t>JUILLET</t>
  </si>
  <si>
    <t xml:space="preserve">AOUT </t>
  </si>
  <si>
    <t xml:space="preserve">SEPTEMBRE </t>
  </si>
  <si>
    <t>OCTOBRE</t>
  </si>
  <si>
    <t>NOVEMBRE</t>
  </si>
  <si>
    <t>juin</t>
  </si>
  <si>
    <t>juillet</t>
  </si>
  <si>
    <t>aout</t>
  </si>
  <si>
    <t>septembre</t>
  </si>
  <si>
    <t xml:space="preserve">octobre </t>
  </si>
  <si>
    <t>novembre</t>
  </si>
  <si>
    <t>CA TTC</t>
  </si>
  <si>
    <t>octobre</t>
  </si>
  <si>
    <t>décembre</t>
  </si>
  <si>
    <t>siege</t>
  </si>
  <si>
    <t>blond caroline</t>
  </si>
  <si>
    <t>daby yael</t>
  </si>
  <si>
    <t>dufossé Sandrine</t>
  </si>
  <si>
    <t>laurie gillon - fin  cdd 30/08/24</t>
  </si>
  <si>
    <t>amouzig ruth</t>
  </si>
  <si>
    <t>ons ben chabanne</t>
  </si>
  <si>
    <t>lagrange Antoine</t>
  </si>
  <si>
    <t>Maiga youssouf</t>
  </si>
  <si>
    <t>Mouna Makhlouf</t>
  </si>
  <si>
    <t>Yohann Patouillard</t>
  </si>
  <si>
    <t>total</t>
  </si>
  <si>
    <t>FANNY BARBERY</t>
  </si>
  <si>
    <t>commisions si 4% - décalage 1 mois</t>
  </si>
  <si>
    <t>MACHET ALIZE - 5%</t>
  </si>
  <si>
    <t>MARTIN FRANTZ - 3%</t>
  </si>
  <si>
    <t>THOMAS KATHY - RESTE 0 CP - 7,4%</t>
  </si>
  <si>
    <t>DOS SANTOS CYPRIEN - 0%</t>
  </si>
  <si>
    <t>COMMENTAIRE</t>
  </si>
  <si>
    <t>DEMISSION FIN LE 18/06/24</t>
  </si>
  <si>
    <t xml:space="preserve">Axel Niambi </t>
  </si>
  <si>
    <t>ca encaisse</t>
  </si>
  <si>
    <t>SIACI</t>
  </si>
  <si>
    <t>LEROUX FLORIANE - 8,3% - démission 12/08</t>
  </si>
  <si>
    <t>NELLY BARBIER - ENTREE 03/06</t>
  </si>
  <si>
    <t>HENRY MANON - 5,3% DEMISSION 31/08</t>
  </si>
  <si>
    <t>ARNAUD FALCE - 21/07</t>
  </si>
  <si>
    <t>RECIM</t>
  </si>
  <si>
    <t>DECEMBRE</t>
  </si>
  <si>
    <t>SALAIRE BRUT</t>
  </si>
  <si>
    <t>SALAIRE CHARGE</t>
  </si>
  <si>
    <t>SALAIRE NET</t>
  </si>
  <si>
    <t>DIRECTEUR ARTISTIQUE</t>
  </si>
  <si>
    <t>RESPONSABLE ADV</t>
  </si>
  <si>
    <t>MAGASINIER</t>
  </si>
  <si>
    <t>CHARGES SOCIALES</t>
  </si>
  <si>
    <t xml:space="preserve">LICENCIEMENTS ECONOMIQUES </t>
  </si>
  <si>
    <t>CA ht</t>
  </si>
  <si>
    <t>total produits</t>
  </si>
  <si>
    <t>602610 - EMBALLAGES PERDUS</t>
  </si>
  <si>
    <t>606110 - ELECTRICITE</t>
  </si>
  <si>
    <t>606300 - FOURNITURES ENTRETIENS &amp; PETITS EQUIPEMENTS</t>
  </si>
  <si>
    <t>606400 - FOURNITURES ADMINISTRATIVES</t>
  </si>
  <si>
    <t>606810 - FOURNITURES IMPRESSIONS</t>
  </si>
  <si>
    <t>611300 - Prestation site Web</t>
  </si>
  <si>
    <t>612225 - KIA STONIC CB-273-NG</t>
  </si>
  <si>
    <t>613210 - LOYERS RUE CHARCOT</t>
  </si>
  <si>
    <t>613500 - LOCATIONS MOBILIERES</t>
  </si>
  <si>
    <t>613550 - HEBERGEMENT/INFOGERANCE</t>
  </si>
  <si>
    <t>613551 - NOMS DOMAINES/CERTIFICATS</t>
  </si>
  <si>
    <t>613577 - ARKANA GM-347-ST VT</t>
  </si>
  <si>
    <t>613578 - ARKANA GN-907-GW VU</t>
  </si>
  <si>
    <t>613580 - véhicule a venir</t>
  </si>
  <si>
    <t>615000 - ENTRETIEN ET REPARATION</t>
  </si>
  <si>
    <t>615510 - ENTRETIEN ET REPARATION VEHICULES</t>
  </si>
  <si>
    <t>615600 - MAINTENANCE</t>
  </si>
  <si>
    <t>615610 - MAINTENANCE INFORMATIQUE</t>
  </si>
  <si>
    <t>616100 - ASSURANCE - MULTIRISQUES</t>
  </si>
  <si>
    <t>616110 - ASSURANCE - FLOTTE AUTOMOBILE</t>
  </si>
  <si>
    <t>616300 - ASSURANCE - TRANSPORT MARCHANDISES</t>
  </si>
  <si>
    <t>616400 - ASSURANCE - ART/OBJETS DE VALEUR</t>
  </si>
  <si>
    <t>616410 - PRIME D'ASSURANCE - DECES-INVALIDITE</t>
  </si>
  <si>
    <t>616500 - Prime d'assurance - insolvabilité client</t>
  </si>
  <si>
    <t>621400 - ENTRETIEN DES LOCAUX</t>
  </si>
  <si>
    <t>622201 - COMMISSIONS ET COURTAGES SUR VENTES HORS EU</t>
  </si>
  <si>
    <t>622630 - HONORAIRES - AVOCATS, DROIT SOCIAL</t>
  </si>
  <si>
    <t>622640 - HONORAIRES - EXPERT-COMPTABLE &amp; CAC</t>
  </si>
  <si>
    <t>622650 - HONORAIRES - CONSEIL, CONSULTING</t>
  </si>
  <si>
    <t>622700 - FRAIS D'ACTES ET CONTENTIEUX</t>
  </si>
  <si>
    <t>623010 - FACEBOOK</t>
  </si>
  <si>
    <t>623020 - GOOGLE ADWORDS</t>
  </si>
  <si>
    <t>623030 - INTELLIGENCE ARTIFICIELLE</t>
  </si>
  <si>
    <t>623110 - ANNONCES RECRUTEMENTS</t>
  </si>
  <si>
    <t>623600 - Catalogues et imprimés</t>
  </si>
  <si>
    <t>623610 - CARTES DE VISITE</t>
  </si>
  <si>
    <t>623620 - SHOOTING</t>
  </si>
  <si>
    <t>624800 - Divers</t>
  </si>
  <si>
    <t>625125 - CARBURANTS</t>
  </si>
  <si>
    <t>625130 - INDEMNITES KILOMETRIQUE</t>
  </si>
  <si>
    <t>626100 - FRAIS POSTAUX</t>
  </si>
  <si>
    <t>626200 - TELEPHONIE FIXE &amp; STANDARD</t>
  </si>
  <si>
    <t>626310 - FLOTTE MOBILE SFR</t>
  </si>
  <si>
    <t>626400 - INTERNET</t>
  </si>
  <si>
    <t>627000 - SERVICES BANCAIRES ET ASSIMILES</t>
  </si>
  <si>
    <t>627800 - Autres frais et commissions sur prestations de servces</t>
  </si>
  <si>
    <t>628100 - Concours divers (Cotisations...)</t>
  </si>
  <si>
    <t>628110 - COTISATIONS GENFA</t>
  </si>
  <si>
    <t>631200 - TAXE D'APPRENTISSAGE</t>
  </si>
  <si>
    <t>631300 - PART.DES EMPLOYEURS A LA FORM. PROFES. CONTINUE</t>
  </si>
  <si>
    <t>641100 - SALAIRES APPOINTEMENTS</t>
  </si>
  <si>
    <t>641200 - CONGES PAYES</t>
  </si>
  <si>
    <t>641410 - INDEMNITES DE PANIER</t>
  </si>
  <si>
    <t>641700 - PASS NAVIGO</t>
  </si>
  <si>
    <t>641800 - AVANTAGE EN NATURE VEHICULE</t>
  </si>
  <si>
    <t>645800 - COTISATIONS AUX AUTRES ORGANISMES SOCIAUX</t>
  </si>
  <si>
    <t>647500 - Autre charge sociale - Médecine du travail, pharmacie</t>
  </si>
  <si>
    <t>651000 - REDEVANCES POUR CONCESSIONS, BREVETS, LICENCES, PROCEDES, DROITS ET VALEURS SIMILAIRES</t>
  </si>
  <si>
    <t>651100 - redevances pour concessions, brevets, licences</t>
  </si>
  <si>
    <t>651600 - Droits d'auteur et de reproduction</t>
  </si>
  <si>
    <t>654100 - Pertes sur créances irrécouvrables - Créances de l'exercice</t>
  </si>
  <si>
    <t>661160 - Intérêts des emprunts et dettes assimilées</t>
  </si>
  <si>
    <t>661500 - Intérêts des comptes courants et des dépôts créditeurs</t>
  </si>
  <si>
    <t>661600 - Intérêt bancaire et sur opérations de financement (escompte...)</t>
  </si>
  <si>
    <t>665000 - ESCOMPTES ACCORDEES</t>
  </si>
  <si>
    <t>666000 - PERTES DE CHANGE</t>
  </si>
  <si>
    <t>671200 - PENEALITES, AMENDES FISCALES ET PENALES</t>
  </si>
  <si>
    <t>681740 - Dotation aux provisions pour dépréciation des créances</t>
  </si>
  <si>
    <t>624100 - TRANSPORT</t>
  </si>
  <si>
    <t>625 - NDF</t>
  </si>
  <si>
    <t>607200 - ACHAT DE MARCHANDISES ETRANGER</t>
  </si>
  <si>
    <t>BRUTS</t>
  </si>
  <si>
    <t>CARTES TOTAL</t>
  </si>
  <si>
    <t>invision pixels</t>
  </si>
  <si>
    <t>amg conseil</t>
  </si>
  <si>
    <t>ALLIANZ</t>
  </si>
  <si>
    <t>SCALEWAY</t>
  </si>
  <si>
    <t>ID NUMERIQUE</t>
  </si>
  <si>
    <t>Midjourney, tidio, open ai</t>
  </si>
  <si>
    <t>sarbacane</t>
  </si>
  <si>
    <t>GS1</t>
  </si>
  <si>
    <t>ARRET LOYER OCTOBRE 2024</t>
  </si>
  <si>
    <t>PB PARC VEHICULE</t>
  </si>
  <si>
    <t>TX2 CONCEPT</t>
  </si>
  <si>
    <t>bruts COMMERCIAUX SANS COM après PAS</t>
  </si>
  <si>
    <t>645 - Cotisation sociales</t>
  </si>
  <si>
    <t>total brut</t>
  </si>
  <si>
    <t>INDEMNITE DE PANIER</t>
  </si>
  <si>
    <t>DOM-TOM DIFFUSION</t>
  </si>
  <si>
    <t>TOTAL CHARGES FIXES</t>
  </si>
  <si>
    <t>MESURES DURANT LE RJ</t>
  </si>
  <si>
    <t>COUT DES LICENCIEMENTS</t>
  </si>
  <si>
    <t>ENTREE</t>
  </si>
  <si>
    <t>INDEMNITE DE LICENCIEMENT</t>
  </si>
  <si>
    <t>CP A FIN SEPTEMBRE</t>
  </si>
  <si>
    <t>PREAVIS POLE EMPLOI</t>
  </si>
  <si>
    <t>PREAVIS</t>
  </si>
  <si>
    <t>EMBAUCHES</t>
  </si>
  <si>
    <t>NOUVEAU REPRESENTANT - EST</t>
  </si>
  <si>
    <t>SALAIRES EMBAUCHES</t>
  </si>
  <si>
    <t>CHARGES SOCIALES EMBAUCHES</t>
  </si>
  <si>
    <t>CA HT</t>
  </si>
  <si>
    <t>CA GERERE PAR LES EMBAUCHES</t>
  </si>
  <si>
    <t>COUT EMBAUCHES</t>
  </si>
  <si>
    <t>CA HT GENERE PAR EMBAUCHE  ARANUD FALCE</t>
  </si>
  <si>
    <t>TOTAL CA - EMBAUCHES</t>
  </si>
  <si>
    <t>IMPACT RESULTAT DES MESURES</t>
  </si>
  <si>
    <t>RESULTAT FINAL</t>
  </si>
  <si>
    <t>TOTAL PRODUITS-CHARGES SANS MODIFICATIONS</t>
  </si>
  <si>
    <t>point mort</t>
  </si>
  <si>
    <t xml:space="preserve">KEYYO </t>
  </si>
  <si>
    <t>607100 - ACHATS DE MARCHANDISES</t>
  </si>
  <si>
    <t>CENTRALES</t>
  </si>
  <si>
    <t>ESCOMPTES CENTRALES</t>
  </si>
  <si>
    <t>FOURNISSEURS MONTURES</t>
  </si>
  <si>
    <t>taux de marge 80%</t>
  </si>
  <si>
    <t>CA HT GENERE PAR EMBAUCHE  COM BRETAGNE</t>
  </si>
  <si>
    <t>CA HT GENERE PAR EMBAUCHE COM NORMANDIE</t>
  </si>
  <si>
    <t>DOCUSIGN 456€ ANNUEL + E-CONSULTING</t>
  </si>
  <si>
    <t>EMBAUCHE LAURIE GILLON - MARKETING</t>
  </si>
  <si>
    <t>CP</t>
  </si>
  <si>
    <t>COMMISSIONS CP INCLUS SUR CA GENERE</t>
  </si>
  <si>
    <t>fitting box + zara+ Asos</t>
  </si>
  <si>
    <t>eyes-road</t>
  </si>
  <si>
    <t>pepperi</t>
  </si>
  <si>
    <t>CA HT GENERE PAR EMBAUCHE COM EST</t>
  </si>
  <si>
    <t>NOUVEAU REPRESENTANT - BRETAGNE</t>
  </si>
  <si>
    <t>NOUVEAU REPRESENTANT - NORMANDIE</t>
  </si>
  <si>
    <t>ADOBE+ TEAM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</si>
</sst>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0" fillId="0" borderId="1" xfId="0" applyBorder="1"/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0" fillId="4" borderId="1" xfId="0" applyNumberFormat="1" applyFill="1" applyBorder="1"/>
    <xf numFmtId="4" fontId="0" fillId="5" borderId="1" xfId="0" applyNumberFormat="1" applyFill="1" applyBorder="1"/>
    <xf numFmtId="4" fontId="0" fillId="0" borderId="0" xfId="0" applyNumberFormat="1"/>
    <xf numFmtId="0" fontId="0" fillId="6" borderId="1" xfId="0" applyFill="1" applyBorder="1"/>
    <xf numFmtId="2" fontId="0" fillId="0" borderId="0" xfId="0" applyNumberFormat="1"/>
    <xf numFmtId="0" fontId="0" fillId="0" borderId="5" xfId="0" applyBorder="1"/>
    <xf numFmtId="4" fontId="0" fillId="0" borderId="5" xfId="0" applyNumberFormat="1" applyBorder="1"/>
    <xf numFmtId="4" fontId="0" fillId="5" borderId="5" xfId="0" applyNumberFormat="1" applyFill="1" applyBorder="1"/>
    <xf numFmtId="4" fontId="0" fillId="0" borderId="1" xfId="0" applyNumberFormat="1" applyBorder="1" applyAlignment="1">
      <alignment horizontal="right"/>
    </xf>
    <xf numFmtId="14" fontId="0" fillId="0" borderId="0" xfId="0" applyNumberFormat="1"/>
    <xf numFmtId="0" fontId="0" fillId="0" borderId="0" xfId="0" applyAlignment="1">
      <alignment wrapText="1"/>
    </xf>
    <xf numFmtId="0" fontId="0" fillId="9" borderId="1" xfId="0" applyFill="1" applyBorder="1"/>
    <xf numFmtId="4" fontId="0" fillId="9" borderId="1" xfId="0" applyNumberFormat="1" applyFill="1" applyBorder="1"/>
    <xf numFmtId="0" fontId="1" fillId="9" borderId="0" xfId="0" applyFont="1" applyFill="1" applyAlignment="1">
      <alignment wrapText="1"/>
    </xf>
    <xf numFmtId="4" fontId="0" fillId="9" borderId="0" xfId="0" applyNumberFormat="1" applyFill="1"/>
    <xf numFmtId="0" fontId="0" fillId="9" borderId="0" xfId="0" applyFill="1"/>
    <xf numFmtId="1" fontId="0" fillId="0" borderId="0" xfId="0" applyNumberFormat="1"/>
    <xf numFmtId="2" fontId="0" fillId="0" borderId="1" xfId="0" applyNumberFormat="1" applyBorder="1"/>
    <xf numFmtId="2" fontId="0" fillId="7" borderId="1" xfId="0" applyNumberFormat="1" applyFill="1" applyBorder="1"/>
    <xf numFmtId="0" fontId="0" fillId="8" borderId="1" xfId="0" applyFill="1" applyBorder="1"/>
    <xf numFmtId="2" fontId="0" fillId="6" borderId="1" xfId="0" applyNumberFormat="1" applyFill="1" applyBorder="1"/>
    <xf numFmtId="1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C349C-FD9E-453D-B5EA-81EAC4484FCB}">
  <sheetPr>
    <pageSetUpPr fitToPage="1"/>
  </sheetPr>
  <dimension ref="A1:I103"/>
  <sheetViews>
    <sheetView tabSelected="1" workbookViewId="0">
      <pane ySplit="1" topLeftCell="A28" activePane="bottomLeft" state="frozen"/>
      <selection pane="bottomLeft" activeCell="I81" sqref="I81"/>
    </sheetView>
  </sheetViews>
  <sheetFormatPr baseColWidth="10" defaultRowHeight="14.5" x14ac:dyDescent="0.35"/>
  <cols>
    <col min="1" max="1" width="55.81640625" customWidth="1"/>
    <col min="2" max="2" width="19.453125" customWidth="1"/>
    <col min="8" max="8" width="35.1796875" customWidth="1"/>
  </cols>
  <sheetData>
    <row r="1" spans="1:9" ht="15" thickBot="1" x14ac:dyDescent="0.4">
      <c r="A1" s="1" t="s">
        <v>0</v>
      </c>
      <c r="B1" s="5" t="s">
        <v>6</v>
      </c>
      <c r="C1" s="5" t="s">
        <v>7</v>
      </c>
      <c r="D1" s="5" t="s">
        <v>8</v>
      </c>
      <c r="E1" s="5" t="s">
        <v>9</v>
      </c>
      <c r="F1" s="5" t="s">
        <v>10</v>
      </c>
      <c r="G1" s="14" t="s">
        <v>48</v>
      </c>
      <c r="H1" s="5" t="s">
        <v>38</v>
      </c>
    </row>
    <row r="2" spans="1:9" ht="15" thickBot="1" x14ac:dyDescent="0.4">
      <c r="A2" s="2"/>
      <c r="B2" s="8"/>
      <c r="C2" s="8"/>
      <c r="D2" s="8"/>
      <c r="E2" s="8"/>
      <c r="F2" s="8"/>
      <c r="G2" s="15"/>
      <c r="H2" s="8"/>
    </row>
    <row r="3" spans="1:9" ht="15" thickBot="1" x14ac:dyDescent="0.4">
      <c r="A3" s="3" t="s">
        <v>57</v>
      </c>
      <c r="B3" s="9">
        <f>+CA!C4</f>
        <v>50000</v>
      </c>
      <c r="C3" s="9">
        <f>+CA!D4</f>
        <v>53000</v>
      </c>
      <c r="D3" s="9">
        <f>+CA!E4</f>
        <v>95000</v>
      </c>
      <c r="E3" s="9">
        <f>+CA!F4</f>
        <v>109000</v>
      </c>
      <c r="F3" s="9">
        <f>+CA!G4</f>
        <v>103000</v>
      </c>
      <c r="G3" s="9">
        <f>+CA!H4</f>
        <v>90000</v>
      </c>
      <c r="H3" s="9"/>
    </row>
    <row r="4" spans="1:9" ht="15" thickBot="1" x14ac:dyDescent="0.4">
      <c r="A4" s="2"/>
      <c r="B4" s="8"/>
      <c r="C4" s="8"/>
      <c r="D4" s="8"/>
      <c r="E4" s="8"/>
      <c r="F4" s="8"/>
      <c r="G4" s="15"/>
      <c r="H4" s="8"/>
    </row>
    <row r="5" spans="1:9" ht="15" thickBot="1" x14ac:dyDescent="0.4">
      <c r="A5" s="4" t="s">
        <v>58</v>
      </c>
      <c r="B5" s="10">
        <f t="shared" ref="B5:G5" si="0">SUM(B2:B4)</f>
        <v>50000</v>
      </c>
      <c r="C5" s="10">
        <f t="shared" si="0"/>
        <v>53000</v>
      </c>
      <c r="D5" s="10">
        <f t="shared" si="0"/>
        <v>95000</v>
      </c>
      <c r="E5" s="10">
        <f t="shared" si="0"/>
        <v>109000</v>
      </c>
      <c r="F5" s="10">
        <f t="shared" si="0"/>
        <v>103000</v>
      </c>
      <c r="G5" s="16">
        <f t="shared" si="0"/>
        <v>90000</v>
      </c>
      <c r="H5" s="10"/>
      <c r="I5" s="11">
        <f>SUM(B3:G3)</f>
        <v>500000</v>
      </c>
    </row>
    <row r="6" spans="1:9" x14ac:dyDescent="0.35">
      <c r="A6" s="6"/>
      <c r="B6" s="11"/>
      <c r="C6" s="11"/>
      <c r="D6" s="11"/>
      <c r="E6" s="11"/>
      <c r="F6" s="11"/>
      <c r="G6" s="11"/>
      <c r="H6" s="8"/>
    </row>
    <row r="7" spans="1:9" x14ac:dyDescent="0.35">
      <c r="A7" s="5" t="s">
        <v>59</v>
      </c>
      <c r="B7" s="30">
        <v>150</v>
      </c>
      <c r="C7" s="8">
        <v>150</v>
      </c>
      <c r="D7" s="8">
        <v>150</v>
      </c>
      <c r="E7" s="8">
        <v>150</v>
      </c>
      <c r="F7" s="8">
        <v>150</v>
      </c>
      <c r="G7" s="15">
        <v>150</v>
      </c>
      <c r="H7" s="8"/>
    </row>
    <row r="8" spans="1:9" x14ac:dyDescent="0.35">
      <c r="A8" s="5" t="s">
        <v>60</v>
      </c>
      <c r="B8" s="30">
        <f>800/1.2</f>
        <v>666.66666666666674</v>
      </c>
      <c r="C8" s="8">
        <f>1000/1.2</f>
        <v>833.33333333333337</v>
      </c>
      <c r="D8" s="8">
        <f>700/1.2</f>
        <v>583.33333333333337</v>
      </c>
      <c r="E8" s="8">
        <f>1500/1.2</f>
        <v>1250</v>
      </c>
      <c r="F8" s="8">
        <f>2000/1.2</f>
        <v>1666.6666666666667</v>
      </c>
      <c r="G8" s="15">
        <f>2000/1.2</f>
        <v>1666.6666666666667</v>
      </c>
      <c r="H8" s="8"/>
    </row>
    <row r="9" spans="1:9" x14ac:dyDescent="0.35">
      <c r="A9" s="5" t="s">
        <v>61</v>
      </c>
      <c r="B9" s="30"/>
      <c r="C9" s="8"/>
      <c r="D9" s="8"/>
      <c r="E9" s="8"/>
      <c r="F9" s="8"/>
      <c r="G9" s="15"/>
      <c r="H9" s="8"/>
    </row>
    <row r="10" spans="1:9" x14ac:dyDescent="0.35">
      <c r="A10" s="5" t="s">
        <v>62</v>
      </c>
      <c r="B10" s="30"/>
      <c r="C10" s="8"/>
      <c r="D10" s="8"/>
      <c r="E10" s="8"/>
      <c r="F10" s="8"/>
      <c r="G10" s="15"/>
      <c r="H10" s="8"/>
    </row>
    <row r="11" spans="1:9" x14ac:dyDescent="0.35">
      <c r="A11" s="5" t="s">
        <v>63</v>
      </c>
      <c r="B11" s="30">
        <v>151.75</v>
      </c>
      <c r="C11" s="8">
        <v>151.75</v>
      </c>
      <c r="D11" s="8">
        <v>151.75</v>
      </c>
      <c r="E11" s="8">
        <v>151.75</v>
      </c>
      <c r="F11" s="8">
        <v>151.75</v>
      </c>
      <c r="G11" s="15">
        <v>151.75</v>
      </c>
      <c r="H11" s="8" t="s">
        <v>136</v>
      </c>
    </row>
    <row r="12" spans="1:9" x14ac:dyDescent="0.35">
      <c r="A12" s="5" t="s">
        <v>170</v>
      </c>
      <c r="B12" s="30">
        <f>+B3*2.12%</f>
        <v>1060</v>
      </c>
      <c r="C12" s="8">
        <f t="shared" ref="C12:G12" si="1">+C3*2.12%</f>
        <v>1123.5999999999999</v>
      </c>
      <c r="D12" s="8">
        <f t="shared" si="1"/>
        <v>2014</v>
      </c>
      <c r="E12" s="8">
        <f t="shared" si="1"/>
        <v>2310.8000000000002</v>
      </c>
      <c r="F12" s="8">
        <f t="shared" si="1"/>
        <v>2183.6</v>
      </c>
      <c r="G12" s="8">
        <f t="shared" si="1"/>
        <v>1908</v>
      </c>
      <c r="H12" s="8" t="s">
        <v>171</v>
      </c>
    </row>
    <row r="13" spans="1:9" x14ac:dyDescent="0.35">
      <c r="A13" s="5" t="s">
        <v>129</v>
      </c>
      <c r="B13" s="30">
        <v>0</v>
      </c>
      <c r="C13" s="8">
        <v>5500</v>
      </c>
      <c r="D13" s="8">
        <v>5000</v>
      </c>
      <c r="E13" s="8">
        <v>7300</v>
      </c>
      <c r="F13" s="8">
        <v>12000</v>
      </c>
      <c r="G13" s="15">
        <v>5000</v>
      </c>
      <c r="H13" s="8" t="s">
        <v>173</v>
      </c>
    </row>
    <row r="14" spans="1:9" x14ac:dyDescent="0.35">
      <c r="A14" s="5" t="s">
        <v>64</v>
      </c>
      <c r="B14" s="30">
        <v>43.99</v>
      </c>
      <c r="C14" s="8">
        <v>43.99</v>
      </c>
      <c r="D14" s="8">
        <v>43.99</v>
      </c>
      <c r="E14" s="8">
        <v>43.99</v>
      </c>
      <c r="F14" s="8">
        <v>43.99</v>
      </c>
      <c r="G14" s="15">
        <v>43.99</v>
      </c>
      <c r="H14" s="8" t="s">
        <v>135</v>
      </c>
    </row>
    <row r="15" spans="1:9" x14ac:dyDescent="0.35">
      <c r="A15" s="5" t="s">
        <v>65</v>
      </c>
      <c r="B15" s="30">
        <v>569.13</v>
      </c>
      <c r="C15" s="8">
        <v>569.13</v>
      </c>
      <c r="D15" s="8">
        <v>569.13</v>
      </c>
      <c r="E15" s="8">
        <v>569.13</v>
      </c>
      <c r="F15" s="8"/>
      <c r="G15" s="15"/>
      <c r="H15" s="8" t="s">
        <v>140</v>
      </c>
    </row>
    <row r="16" spans="1:9" x14ac:dyDescent="0.35">
      <c r="A16" s="5" t="s">
        <v>66</v>
      </c>
      <c r="B16" s="30">
        <v>11000</v>
      </c>
      <c r="C16" s="8">
        <v>11000</v>
      </c>
      <c r="D16" s="8">
        <v>11000</v>
      </c>
      <c r="E16" s="8">
        <v>11000</v>
      </c>
      <c r="F16" s="8">
        <v>11000</v>
      </c>
      <c r="G16" s="15">
        <v>11000</v>
      </c>
      <c r="H16" s="8"/>
    </row>
    <row r="17" spans="1:8" x14ac:dyDescent="0.35">
      <c r="A17" s="5" t="s">
        <v>67</v>
      </c>
      <c r="B17" s="30">
        <v>175</v>
      </c>
      <c r="C17" s="8">
        <v>175</v>
      </c>
      <c r="D17" s="8">
        <v>175</v>
      </c>
      <c r="E17" s="8">
        <v>175</v>
      </c>
      <c r="F17" s="8">
        <v>175</v>
      </c>
      <c r="G17" s="15">
        <v>175</v>
      </c>
      <c r="H17" s="8" t="s">
        <v>1</v>
      </c>
    </row>
    <row r="18" spans="1:8" x14ac:dyDescent="0.35">
      <c r="A18" s="5" t="s">
        <v>68</v>
      </c>
      <c r="B18" s="30">
        <v>180</v>
      </c>
      <c r="C18" s="8">
        <v>180</v>
      </c>
      <c r="D18" s="8">
        <v>180</v>
      </c>
      <c r="E18" s="8">
        <v>180</v>
      </c>
      <c r="F18" s="8">
        <v>180</v>
      </c>
      <c r="G18" s="8">
        <v>180</v>
      </c>
      <c r="H18" s="8" t="s">
        <v>142</v>
      </c>
    </row>
    <row r="19" spans="1:8" x14ac:dyDescent="0.35">
      <c r="A19" s="5" t="s">
        <v>69</v>
      </c>
      <c r="B19" s="30">
        <v>350</v>
      </c>
      <c r="C19" s="8">
        <v>350</v>
      </c>
      <c r="D19" s="8">
        <v>350</v>
      </c>
      <c r="E19" s="8">
        <v>350</v>
      </c>
      <c r="F19" s="8">
        <v>350</v>
      </c>
      <c r="G19" s="8">
        <v>350</v>
      </c>
      <c r="H19" s="8" t="s">
        <v>3</v>
      </c>
    </row>
    <row r="20" spans="1:8" x14ac:dyDescent="0.35">
      <c r="A20" s="5" t="s">
        <v>70</v>
      </c>
      <c r="B20" s="30">
        <v>536.80999999999995</v>
      </c>
      <c r="C20" s="8">
        <v>536.80999999999995</v>
      </c>
      <c r="D20" s="8">
        <v>536.80999999999995</v>
      </c>
      <c r="E20" s="8">
        <v>536.80999999999995</v>
      </c>
      <c r="F20" s="8">
        <v>536.80999999999995</v>
      </c>
      <c r="G20" s="15">
        <v>536.80999999999995</v>
      </c>
      <c r="H20" s="8"/>
    </row>
    <row r="21" spans="1:8" x14ac:dyDescent="0.35">
      <c r="A21" s="5" t="s">
        <v>71</v>
      </c>
      <c r="B21" s="30">
        <v>505.82</v>
      </c>
      <c r="C21" s="8">
        <v>505.82</v>
      </c>
      <c r="D21" s="8">
        <v>505.82</v>
      </c>
      <c r="E21" s="8">
        <v>505.82</v>
      </c>
      <c r="F21" s="8">
        <v>505.82</v>
      </c>
      <c r="G21" s="15">
        <v>505.82</v>
      </c>
      <c r="H21" s="8"/>
    </row>
    <row r="22" spans="1:8" x14ac:dyDescent="0.35">
      <c r="A22" s="5" t="s">
        <v>72</v>
      </c>
      <c r="B22" s="30"/>
      <c r="C22" s="8"/>
      <c r="D22" s="8"/>
      <c r="E22" s="8"/>
      <c r="F22" s="8"/>
      <c r="G22" s="15"/>
      <c r="H22" s="8"/>
    </row>
    <row r="23" spans="1:8" x14ac:dyDescent="0.35">
      <c r="A23" s="5" t="s">
        <v>73</v>
      </c>
      <c r="B23" s="30">
        <v>500</v>
      </c>
      <c r="C23" s="8">
        <v>500</v>
      </c>
      <c r="D23" s="8">
        <v>500</v>
      </c>
      <c r="E23" s="8">
        <v>500</v>
      </c>
      <c r="F23" s="8">
        <v>500</v>
      </c>
      <c r="G23" s="8">
        <v>500</v>
      </c>
      <c r="H23" s="8" t="s">
        <v>141</v>
      </c>
    </row>
    <row r="24" spans="1:8" x14ac:dyDescent="0.35">
      <c r="A24" s="5" t="s">
        <v>74</v>
      </c>
      <c r="B24" s="30"/>
      <c r="C24" s="8"/>
      <c r="D24" s="8"/>
      <c r="E24" s="8"/>
      <c r="F24" s="8"/>
      <c r="G24" s="15"/>
      <c r="H24" s="8"/>
    </row>
    <row r="25" spans="1:8" x14ac:dyDescent="0.35">
      <c r="A25" s="5" t="s">
        <v>75</v>
      </c>
      <c r="B25" s="30">
        <v>65</v>
      </c>
      <c r="C25" s="8">
        <v>65</v>
      </c>
      <c r="D25" s="8">
        <v>65</v>
      </c>
      <c r="E25" s="8">
        <v>65</v>
      </c>
      <c r="F25" s="8">
        <v>65</v>
      </c>
      <c r="G25" s="15">
        <v>65</v>
      </c>
      <c r="H25" s="8" t="s">
        <v>2</v>
      </c>
    </row>
    <row r="26" spans="1:8" x14ac:dyDescent="0.35">
      <c r="A26" s="5" t="s">
        <v>76</v>
      </c>
      <c r="B26" s="30">
        <v>863</v>
      </c>
      <c r="C26" s="8">
        <v>863</v>
      </c>
      <c r="D26" s="8">
        <v>863</v>
      </c>
      <c r="E26" s="8">
        <v>863</v>
      </c>
      <c r="F26" s="8">
        <v>863</v>
      </c>
      <c r="G26" s="8">
        <v>863</v>
      </c>
      <c r="H26" s="8" t="s">
        <v>183</v>
      </c>
    </row>
    <row r="27" spans="1:8" x14ac:dyDescent="0.35">
      <c r="A27" s="5" t="s">
        <v>77</v>
      </c>
      <c r="B27" s="30">
        <v>774</v>
      </c>
      <c r="C27" s="8">
        <v>774</v>
      </c>
      <c r="D27" s="8">
        <v>774</v>
      </c>
      <c r="E27" s="8">
        <v>774</v>
      </c>
      <c r="F27" s="8">
        <v>774</v>
      </c>
      <c r="G27" s="15">
        <v>774</v>
      </c>
      <c r="H27" s="8" t="s">
        <v>42</v>
      </c>
    </row>
    <row r="28" spans="1:8" x14ac:dyDescent="0.35">
      <c r="A28" s="5" t="s">
        <v>78</v>
      </c>
      <c r="B28" s="30">
        <v>650</v>
      </c>
      <c r="C28" s="8">
        <v>650</v>
      </c>
      <c r="D28" s="8">
        <v>650</v>
      </c>
      <c r="E28" s="8">
        <v>650</v>
      </c>
      <c r="F28" s="8">
        <v>650</v>
      </c>
      <c r="G28" s="15">
        <v>650</v>
      </c>
      <c r="H28" s="8" t="s">
        <v>134</v>
      </c>
    </row>
    <row r="29" spans="1:8" x14ac:dyDescent="0.35">
      <c r="A29" s="5" t="s">
        <v>79</v>
      </c>
      <c r="B29" s="30">
        <f>1000-774</f>
        <v>226</v>
      </c>
      <c r="C29" s="8">
        <f t="shared" ref="C29:G29" si="2">1000-774</f>
        <v>226</v>
      </c>
      <c r="D29" s="8">
        <f t="shared" si="2"/>
        <v>226</v>
      </c>
      <c r="E29" s="8">
        <f t="shared" si="2"/>
        <v>226</v>
      </c>
      <c r="F29" s="8">
        <f t="shared" si="2"/>
        <v>226</v>
      </c>
      <c r="G29" s="15">
        <f t="shared" si="2"/>
        <v>226</v>
      </c>
      <c r="H29" s="8" t="s">
        <v>42</v>
      </c>
    </row>
    <row r="30" spans="1:8" x14ac:dyDescent="0.35">
      <c r="A30" s="5" t="s">
        <v>80</v>
      </c>
      <c r="B30" s="30"/>
      <c r="C30" s="8"/>
      <c r="D30" s="8"/>
      <c r="E30" s="8"/>
      <c r="F30" s="8"/>
      <c r="G30" s="15"/>
      <c r="H30" s="8"/>
    </row>
    <row r="31" spans="1:8" x14ac:dyDescent="0.35">
      <c r="A31" s="5" t="s">
        <v>81</v>
      </c>
      <c r="B31" s="30"/>
      <c r="C31" s="8"/>
      <c r="D31" s="8"/>
      <c r="E31" s="8"/>
      <c r="F31" s="8"/>
      <c r="G31" s="15"/>
      <c r="H31" s="8"/>
    </row>
    <row r="32" spans="1:8" x14ac:dyDescent="0.35">
      <c r="A32" s="5" t="s">
        <v>82</v>
      </c>
      <c r="B32" s="30"/>
      <c r="C32" s="8"/>
      <c r="D32" s="8"/>
      <c r="E32" s="8"/>
      <c r="F32" s="8"/>
      <c r="G32" s="15"/>
      <c r="H32" s="8"/>
    </row>
    <row r="33" spans="1:8" x14ac:dyDescent="0.35">
      <c r="A33" s="5" t="s">
        <v>83</v>
      </c>
      <c r="B33" s="30">
        <v>562</v>
      </c>
      <c r="C33" s="8">
        <v>562</v>
      </c>
      <c r="D33" s="8">
        <v>562</v>
      </c>
      <c r="E33" s="8">
        <v>562</v>
      </c>
      <c r="F33" s="8">
        <v>562</v>
      </c>
      <c r="G33" s="8">
        <v>562</v>
      </c>
      <c r="H33" s="8" t="s">
        <v>47</v>
      </c>
    </row>
    <row r="34" spans="1:8" x14ac:dyDescent="0.35">
      <c r="A34" s="5" t="s">
        <v>84</v>
      </c>
      <c r="B34" s="30">
        <v>200</v>
      </c>
      <c r="C34" s="8">
        <v>200</v>
      </c>
      <c r="D34" s="8">
        <v>200</v>
      </c>
      <c r="E34" s="8"/>
      <c r="F34" s="8"/>
      <c r="G34" s="8"/>
      <c r="H34" s="8" t="s">
        <v>147</v>
      </c>
    </row>
    <row r="35" spans="1:8" x14ac:dyDescent="0.35">
      <c r="A35" s="5" t="s">
        <v>85</v>
      </c>
      <c r="B35" s="30"/>
      <c r="C35" s="8"/>
      <c r="D35" s="8"/>
      <c r="E35" s="8"/>
      <c r="F35" s="8"/>
      <c r="G35" s="15"/>
      <c r="H35" s="8"/>
    </row>
    <row r="36" spans="1:8" x14ac:dyDescent="0.35">
      <c r="A36" s="5" t="s">
        <v>86</v>
      </c>
      <c r="B36" s="30">
        <v>1300</v>
      </c>
      <c r="C36" s="8">
        <v>1300</v>
      </c>
      <c r="D36" s="8">
        <v>1300</v>
      </c>
      <c r="E36" s="8">
        <v>1300</v>
      </c>
      <c r="F36" s="8">
        <v>1300</v>
      </c>
      <c r="G36" s="15">
        <v>1300</v>
      </c>
      <c r="H36" s="8" t="s">
        <v>133</v>
      </c>
    </row>
    <row r="37" spans="1:8" x14ac:dyDescent="0.35">
      <c r="A37" s="5" t="s">
        <v>87</v>
      </c>
      <c r="B37" s="30">
        <v>9000</v>
      </c>
      <c r="C37" s="8">
        <v>9000</v>
      </c>
      <c r="D37" s="8">
        <v>9000</v>
      </c>
      <c r="E37" s="8">
        <v>9000</v>
      </c>
      <c r="F37" s="8">
        <v>9000</v>
      </c>
      <c r="G37" s="15">
        <v>9000</v>
      </c>
      <c r="H37" s="8" t="s">
        <v>132</v>
      </c>
    </row>
    <row r="38" spans="1:8" x14ac:dyDescent="0.35">
      <c r="A38" s="5" t="s">
        <v>88</v>
      </c>
      <c r="B38" s="30"/>
      <c r="C38" s="8"/>
      <c r="D38" s="8"/>
      <c r="E38" s="8"/>
      <c r="F38" s="8"/>
      <c r="G38" s="15"/>
      <c r="H38" s="8"/>
    </row>
    <row r="39" spans="1:8" x14ac:dyDescent="0.35">
      <c r="A39" s="5" t="s">
        <v>89</v>
      </c>
      <c r="B39" s="30">
        <v>200</v>
      </c>
      <c r="C39" s="8">
        <v>200</v>
      </c>
      <c r="D39" s="8">
        <v>200</v>
      </c>
      <c r="E39" s="8">
        <v>200</v>
      </c>
      <c r="F39" s="8">
        <v>200</v>
      </c>
      <c r="G39" s="8">
        <v>200</v>
      </c>
      <c r="H39" s="8"/>
    </row>
    <row r="40" spans="1:8" x14ac:dyDescent="0.35">
      <c r="A40" s="5" t="s">
        <v>90</v>
      </c>
      <c r="B40" s="30">
        <v>15</v>
      </c>
      <c r="C40" s="8">
        <v>15</v>
      </c>
      <c r="D40" s="8">
        <v>15</v>
      </c>
      <c r="E40" s="8">
        <v>15</v>
      </c>
      <c r="F40" s="8">
        <v>15</v>
      </c>
      <c r="G40" s="8">
        <v>15</v>
      </c>
      <c r="H40" s="8"/>
    </row>
    <row r="41" spans="1:8" x14ac:dyDescent="0.35">
      <c r="A41" s="5" t="s">
        <v>91</v>
      </c>
      <c r="B41" s="30">
        <v>206</v>
      </c>
      <c r="C41" s="8">
        <v>206</v>
      </c>
      <c r="D41" s="8">
        <v>206</v>
      </c>
      <c r="E41" s="8">
        <v>206</v>
      </c>
      <c r="F41" s="8">
        <v>206</v>
      </c>
      <c r="G41" s="8">
        <v>206</v>
      </c>
      <c r="H41" s="8" t="s">
        <v>137</v>
      </c>
    </row>
    <row r="42" spans="1:8" x14ac:dyDescent="0.35">
      <c r="A42" s="5" t="s">
        <v>92</v>
      </c>
      <c r="B42" s="30">
        <v>250</v>
      </c>
      <c r="C42" s="8"/>
      <c r="D42" s="8">
        <v>250</v>
      </c>
      <c r="E42" s="8">
        <v>250</v>
      </c>
      <c r="F42" s="8">
        <v>250</v>
      </c>
      <c r="G42" s="8">
        <v>250</v>
      </c>
      <c r="H42" s="8"/>
    </row>
    <row r="43" spans="1:8" x14ac:dyDescent="0.35">
      <c r="A43" s="5" t="s">
        <v>93</v>
      </c>
      <c r="B43" s="30">
        <v>100</v>
      </c>
      <c r="C43" s="8">
        <v>100</v>
      </c>
      <c r="D43" s="8">
        <v>100</v>
      </c>
      <c r="E43" s="8">
        <v>100</v>
      </c>
      <c r="F43" s="8">
        <v>100</v>
      </c>
      <c r="G43" s="8">
        <v>100</v>
      </c>
      <c r="H43" s="8" t="s">
        <v>182</v>
      </c>
    </row>
    <row r="44" spans="1:8" x14ac:dyDescent="0.35">
      <c r="A44" s="5" t="s">
        <v>94</v>
      </c>
      <c r="B44" s="30">
        <v>50</v>
      </c>
      <c r="C44" s="8">
        <v>50</v>
      </c>
      <c r="D44" s="8">
        <v>50</v>
      </c>
      <c r="E44" s="8">
        <v>50</v>
      </c>
      <c r="F44" s="8">
        <v>50</v>
      </c>
      <c r="G44" s="15">
        <v>50</v>
      </c>
      <c r="H44" s="8"/>
    </row>
    <row r="45" spans="1:8" x14ac:dyDescent="0.35">
      <c r="A45" s="5" t="s">
        <v>95</v>
      </c>
      <c r="B45" s="30">
        <v>680</v>
      </c>
      <c r="C45" s="8">
        <v>680</v>
      </c>
      <c r="D45" s="8">
        <v>680</v>
      </c>
      <c r="E45" s="8">
        <v>680</v>
      </c>
      <c r="F45" s="8">
        <v>680</v>
      </c>
      <c r="G45" s="8">
        <v>680</v>
      </c>
      <c r="H45" s="8" t="s">
        <v>181</v>
      </c>
    </row>
    <row r="46" spans="1:8" x14ac:dyDescent="0.35">
      <c r="A46" s="5" t="s">
        <v>127</v>
      </c>
      <c r="B46" s="30">
        <f>1000</f>
        <v>1000</v>
      </c>
      <c r="C46" s="8">
        <f>1000</f>
        <v>1000</v>
      </c>
      <c r="D46" s="8">
        <f>1000/1.2</f>
        <v>833.33333333333337</v>
      </c>
      <c r="E46" s="8">
        <f>2000</f>
        <v>2000</v>
      </c>
      <c r="F46" s="8">
        <f>2000</f>
        <v>2000</v>
      </c>
      <c r="G46" s="8">
        <f>2000</f>
        <v>2000</v>
      </c>
      <c r="H46" s="8" t="s">
        <v>5</v>
      </c>
    </row>
    <row r="47" spans="1:8" x14ac:dyDescent="0.35">
      <c r="A47" s="5" t="s">
        <v>96</v>
      </c>
      <c r="B47" s="30"/>
      <c r="C47" s="8"/>
      <c r="D47" s="8"/>
      <c r="E47" s="8"/>
      <c r="F47" s="8"/>
      <c r="G47" s="15"/>
      <c r="H47" s="8"/>
    </row>
    <row r="48" spans="1:8" x14ac:dyDescent="0.35">
      <c r="A48" s="5" t="s">
        <v>128</v>
      </c>
      <c r="B48" s="30">
        <v>2500</v>
      </c>
      <c r="C48" s="8">
        <v>500</v>
      </c>
      <c r="D48" s="8">
        <v>2000</v>
      </c>
      <c r="E48" s="8">
        <v>3000</v>
      </c>
      <c r="F48" s="8">
        <v>3000</v>
      </c>
      <c r="G48" s="15">
        <v>2500</v>
      </c>
      <c r="H48" s="5"/>
    </row>
    <row r="49" spans="1:8" x14ac:dyDescent="0.35">
      <c r="A49" s="5" t="s">
        <v>97</v>
      </c>
      <c r="B49" s="30">
        <f>1500</f>
        <v>1500</v>
      </c>
      <c r="C49" s="8">
        <f>1000/1.2</f>
        <v>833.33333333333337</v>
      </c>
      <c r="D49" s="8">
        <f>4000/1.2</f>
        <v>3333.3333333333335</v>
      </c>
      <c r="E49" s="8">
        <f>5000/1.2</f>
        <v>4166.666666666667</v>
      </c>
      <c r="F49" s="8">
        <f>5000/1.2</f>
        <v>4166.666666666667</v>
      </c>
      <c r="G49" s="15">
        <f>3000/1.2</f>
        <v>2500</v>
      </c>
      <c r="H49" s="8" t="s">
        <v>131</v>
      </c>
    </row>
    <row r="50" spans="1:8" x14ac:dyDescent="0.35">
      <c r="A50" s="5" t="s">
        <v>98</v>
      </c>
      <c r="B50" s="30"/>
      <c r="C50" s="8"/>
      <c r="D50" s="8"/>
      <c r="E50" s="8"/>
      <c r="F50" s="8"/>
      <c r="G50" s="15"/>
      <c r="H50" s="8"/>
    </row>
    <row r="51" spans="1:8" x14ac:dyDescent="0.35">
      <c r="A51" s="5" t="s">
        <v>99</v>
      </c>
      <c r="B51" s="30">
        <f>1500*0.333333333333333</f>
        <v>499.99999999999949</v>
      </c>
      <c r="C51" s="8">
        <v>1500</v>
      </c>
      <c r="D51" s="8">
        <v>600</v>
      </c>
      <c r="E51" s="8">
        <v>1500</v>
      </c>
      <c r="F51" s="8">
        <v>2000</v>
      </c>
      <c r="G51" s="15">
        <v>1500</v>
      </c>
      <c r="H51" s="8"/>
    </row>
    <row r="52" spans="1:8" x14ac:dyDescent="0.35">
      <c r="A52" s="5" t="s">
        <v>100</v>
      </c>
      <c r="B52" s="30">
        <f>299.29</f>
        <v>299.29000000000002</v>
      </c>
      <c r="C52" s="8">
        <f t="shared" ref="C52:G52" si="3">299.29</f>
        <v>299.29000000000002</v>
      </c>
      <c r="D52" s="8">
        <f t="shared" si="3"/>
        <v>299.29000000000002</v>
      </c>
      <c r="E52" s="8">
        <f t="shared" si="3"/>
        <v>299.29000000000002</v>
      </c>
      <c r="F52" s="8">
        <f t="shared" si="3"/>
        <v>299.29000000000002</v>
      </c>
      <c r="G52" s="8">
        <f t="shared" si="3"/>
        <v>299.29000000000002</v>
      </c>
      <c r="H52" s="8" t="s">
        <v>169</v>
      </c>
    </row>
    <row r="53" spans="1:8" x14ac:dyDescent="0.35">
      <c r="A53" s="5" t="s">
        <v>101</v>
      </c>
      <c r="B53" s="30">
        <f>135/1.2</f>
        <v>112.5</v>
      </c>
      <c r="C53" s="8">
        <f t="shared" ref="C53:G53" si="4">135/1.2</f>
        <v>112.5</v>
      </c>
      <c r="D53" s="8">
        <f t="shared" si="4"/>
        <v>112.5</v>
      </c>
      <c r="E53" s="8">
        <f t="shared" si="4"/>
        <v>112.5</v>
      </c>
      <c r="F53" s="8">
        <f t="shared" si="4"/>
        <v>112.5</v>
      </c>
      <c r="G53" s="15">
        <f t="shared" si="4"/>
        <v>112.5</v>
      </c>
      <c r="H53" s="8"/>
    </row>
    <row r="54" spans="1:8" x14ac:dyDescent="0.35">
      <c r="A54" s="5" t="s">
        <v>102</v>
      </c>
      <c r="B54" s="30"/>
      <c r="C54" s="8"/>
      <c r="D54" s="8"/>
      <c r="E54" s="8"/>
      <c r="F54" s="8"/>
      <c r="G54" s="15"/>
      <c r="H54" s="8"/>
    </row>
    <row r="55" spans="1:8" x14ac:dyDescent="0.35">
      <c r="A55" s="5" t="s">
        <v>103</v>
      </c>
      <c r="B55" s="30">
        <v>300</v>
      </c>
      <c r="C55" s="8">
        <v>300</v>
      </c>
      <c r="D55" s="8">
        <v>300</v>
      </c>
      <c r="E55" s="8">
        <v>400</v>
      </c>
      <c r="F55" s="8">
        <v>400</v>
      </c>
      <c r="G55" s="15">
        <v>400</v>
      </c>
      <c r="H55" s="8"/>
    </row>
    <row r="56" spans="1:8" x14ac:dyDescent="0.35">
      <c r="A56" s="5" t="s">
        <v>104</v>
      </c>
      <c r="B56" s="30"/>
      <c r="C56" s="8"/>
      <c r="D56" s="8"/>
      <c r="E56" s="8"/>
      <c r="F56" s="8"/>
      <c r="G56" s="15"/>
      <c r="H56" s="8"/>
    </row>
    <row r="57" spans="1:8" x14ac:dyDescent="0.35">
      <c r="A57" s="5" t="s">
        <v>105</v>
      </c>
      <c r="B57" s="30"/>
      <c r="C57" s="8"/>
      <c r="D57" s="8"/>
      <c r="E57" s="8"/>
      <c r="F57" s="8"/>
      <c r="G57" s="15"/>
    </row>
    <row r="58" spans="1:8" x14ac:dyDescent="0.35">
      <c r="A58" s="5" t="s">
        <v>106</v>
      </c>
      <c r="B58" s="30">
        <v>49.58</v>
      </c>
      <c r="C58" s="8">
        <v>49.58</v>
      </c>
      <c r="D58" s="8">
        <v>49.58</v>
      </c>
      <c r="E58" s="8">
        <v>49.58</v>
      </c>
      <c r="F58" s="8">
        <v>49.58</v>
      </c>
      <c r="G58" s="8">
        <v>49.58</v>
      </c>
      <c r="H58" s="8" t="s">
        <v>139</v>
      </c>
    </row>
    <row r="59" spans="1:8" x14ac:dyDescent="0.35">
      <c r="A59" s="5" t="s">
        <v>107</v>
      </c>
      <c r="B59" s="30"/>
      <c r="C59" s="8"/>
      <c r="D59" s="8"/>
      <c r="E59" s="8"/>
      <c r="F59" s="8"/>
      <c r="G59" s="15"/>
      <c r="H59" s="8"/>
    </row>
    <row r="60" spans="1:8" x14ac:dyDescent="0.35">
      <c r="A60" s="5" t="s">
        <v>108</v>
      </c>
      <c r="B60" s="30"/>
      <c r="C60" s="8"/>
      <c r="D60" s="8"/>
      <c r="E60" s="8"/>
      <c r="F60" s="8"/>
      <c r="G60" s="15"/>
      <c r="H60" s="8"/>
    </row>
    <row r="61" spans="1:8" x14ac:dyDescent="0.35">
      <c r="A61" s="5" t="s">
        <v>109</v>
      </c>
      <c r="B61" s="30">
        <f>('Salaires bruts'!B16+'Salaires bruts'!B29+'Salaires bruts'!B31)</f>
        <v>54331.065999999999</v>
      </c>
      <c r="C61" s="8">
        <f>('Salaires bruts'!C16+'Salaires bruts'!C29+'Salaires bruts'!C31)</f>
        <v>53448.25</v>
      </c>
      <c r="D61" s="8">
        <f>('Salaires bruts'!D16+'Salaires bruts'!D29+'Salaires bruts'!D31)</f>
        <v>47190.403999999995</v>
      </c>
      <c r="E61" s="8">
        <f>('Salaires bruts'!E16+'Salaires bruts'!E29+'Salaires bruts'!E31)</f>
        <v>48875.78</v>
      </c>
      <c r="F61" s="8">
        <f>('Salaires bruts'!F16+'Salaires bruts'!F29+'Salaires bruts'!F31)</f>
        <v>49437.571999999993</v>
      </c>
      <c r="G61" s="8">
        <f>('Salaires bruts'!G16+'Salaires bruts'!G29+'Salaires bruts'!G31)</f>
        <v>49196.803999999996</v>
      </c>
      <c r="H61" s="8"/>
    </row>
    <row r="62" spans="1:8" x14ac:dyDescent="0.35">
      <c r="A62" s="5" t="s">
        <v>110</v>
      </c>
      <c r="B62" s="30">
        <f>('Salaires bruts'!B16+'Salaires bruts'!B29)*10%</f>
        <v>5144.1850000000004</v>
      </c>
      <c r="C62" s="8">
        <f>('Salaires bruts'!C16+'Salaires bruts'!C29)*10%</f>
        <v>5144.1850000000004</v>
      </c>
      <c r="D62" s="8">
        <f>('Salaires bruts'!D16+'Salaires bruts'!D29)*10%</f>
        <v>4506.3620000000001</v>
      </c>
      <c r="E62" s="8">
        <f>('Salaires bruts'!E16+'Salaires bruts'!E29)*10%</f>
        <v>4506.3620000000001</v>
      </c>
      <c r="F62" s="8">
        <f>('Salaires bruts'!F16+'Salaires bruts'!F29)*10%</f>
        <v>4506.3620000000001</v>
      </c>
      <c r="G62" s="8">
        <f>('Salaires bruts'!G16+'Salaires bruts'!G29)*10%</f>
        <v>4506.3620000000001</v>
      </c>
      <c r="H62" s="8"/>
    </row>
    <row r="63" spans="1:8" x14ac:dyDescent="0.35">
      <c r="A63" s="5" t="s">
        <v>111</v>
      </c>
      <c r="B63" s="30">
        <f>+'Salaires bruts'!B33</f>
        <v>1400</v>
      </c>
      <c r="C63" s="8">
        <f>+'Salaires bruts'!C33</f>
        <v>1400</v>
      </c>
      <c r="D63" s="8">
        <f>+'Salaires bruts'!D33</f>
        <v>1400</v>
      </c>
      <c r="E63" s="8">
        <f>+'Salaires bruts'!E33</f>
        <v>1400</v>
      </c>
      <c r="F63" s="8">
        <f>+'Salaires bruts'!F33</f>
        <v>1400</v>
      </c>
      <c r="G63" s="8">
        <f>+'Salaires bruts'!G33</f>
        <v>1400</v>
      </c>
      <c r="H63" s="8"/>
    </row>
    <row r="64" spans="1:8" x14ac:dyDescent="0.35">
      <c r="A64" s="5" t="s">
        <v>112</v>
      </c>
      <c r="B64" s="30"/>
      <c r="C64" s="8"/>
      <c r="D64" s="8"/>
      <c r="E64" s="8"/>
      <c r="F64" s="8"/>
      <c r="G64" s="15"/>
      <c r="H64" s="8"/>
    </row>
    <row r="65" spans="1:8" x14ac:dyDescent="0.35">
      <c r="A65" s="5" t="s">
        <v>113</v>
      </c>
      <c r="B65" s="30"/>
      <c r="C65" s="8"/>
      <c r="D65" s="8"/>
      <c r="E65" s="8"/>
      <c r="F65" s="8"/>
      <c r="G65" s="15"/>
      <c r="H65" s="8"/>
    </row>
    <row r="66" spans="1:8" x14ac:dyDescent="0.35">
      <c r="A66" s="5" t="s">
        <v>144</v>
      </c>
      <c r="B66" s="30">
        <f>+B61*38%</f>
        <v>20645.805079999998</v>
      </c>
      <c r="C66" s="8">
        <f t="shared" ref="C66:G66" si="5">+C61*38%</f>
        <v>20310.334999999999</v>
      </c>
      <c r="D66" s="8">
        <f t="shared" si="5"/>
        <v>17932.353519999997</v>
      </c>
      <c r="E66" s="8">
        <f t="shared" si="5"/>
        <v>18572.796399999999</v>
      </c>
      <c r="F66" s="8">
        <f t="shared" si="5"/>
        <v>18786.277359999996</v>
      </c>
      <c r="G66" s="8">
        <f t="shared" si="5"/>
        <v>18694.785519999998</v>
      </c>
      <c r="H66" s="8"/>
    </row>
    <row r="67" spans="1:8" x14ac:dyDescent="0.35">
      <c r="A67" s="5" t="s">
        <v>114</v>
      </c>
      <c r="B67" s="30">
        <f>+B62*38%</f>
        <v>1954.7903000000001</v>
      </c>
      <c r="C67" s="8">
        <f t="shared" ref="C67:G67" si="6">+C62*38%</f>
        <v>1954.7903000000001</v>
      </c>
      <c r="D67" s="8">
        <f t="shared" si="6"/>
        <v>1712.4175600000001</v>
      </c>
      <c r="E67" s="8">
        <f t="shared" si="6"/>
        <v>1712.4175600000001</v>
      </c>
      <c r="F67" s="8">
        <f t="shared" si="6"/>
        <v>1712.4175600000001</v>
      </c>
      <c r="G67" s="8">
        <f t="shared" si="6"/>
        <v>1712.4175600000001</v>
      </c>
      <c r="H67" s="8"/>
    </row>
    <row r="68" spans="1:8" x14ac:dyDescent="0.35">
      <c r="A68" s="5" t="s">
        <v>115</v>
      </c>
      <c r="B68" s="30"/>
      <c r="C68" s="8"/>
      <c r="D68" s="8"/>
      <c r="E68" s="8"/>
      <c r="F68" s="8"/>
      <c r="G68" s="15"/>
      <c r="H68" s="5"/>
    </row>
    <row r="69" spans="1:8" x14ac:dyDescent="0.35">
      <c r="A69" s="5" t="s">
        <v>116</v>
      </c>
      <c r="B69" s="30">
        <v>480</v>
      </c>
      <c r="C69" s="8">
        <v>480</v>
      </c>
      <c r="D69" s="8">
        <v>480</v>
      </c>
      <c r="E69" s="8">
        <v>480</v>
      </c>
      <c r="F69" s="8">
        <v>480</v>
      </c>
      <c r="G69" s="8">
        <v>480</v>
      </c>
      <c r="H69" s="8" t="s">
        <v>177</v>
      </c>
    </row>
    <row r="70" spans="1:8" x14ac:dyDescent="0.35">
      <c r="A70" s="5" t="s">
        <v>117</v>
      </c>
      <c r="B70" s="30">
        <f>252.5+46</f>
        <v>298.5</v>
      </c>
      <c r="C70" s="8">
        <f t="shared" ref="C70:G70" si="7">252.5+46</f>
        <v>298.5</v>
      </c>
      <c r="D70" s="8">
        <f t="shared" si="7"/>
        <v>298.5</v>
      </c>
      <c r="E70" s="8">
        <f t="shared" si="7"/>
        <v>298.5</v>
      </c>
      <c r="F70" s="8">
        <f t="shared" si="7"/>
        <v>298.5</v>
      </c>
      <c r="G70" s="8">
        <f t="shared" si="7"/>
        <v>298.5</v>
      </c>
      <c r="H70" s="8" t="s">
        <v>187</v>
      </c>
    </row>
    <row r="71" spans="1:8" x14ac:dyDescent="0.35">
      <c r="A71" s="5" t="s">
        <v>118</v>
      </c>
      <c r="B71" s="30">
        <v>90</v>
      </c>
      <c r="C71" s="8">
        <v>90</v>
      </c>
      <c r="D71" s="8">
        <v>90</v>
      </c>
      <c r="E71" s="8">
        <v>90</v>
      </c>
      <c r="F71" s="8">
        <v>90</v>
      </c>
      <c r="G71" s="8">
        <v>90</v>
      </c>
      <c r="H71" s="8" t="s">
        <v>138</v>
      </c>
    </row>
    <row r="72" spans="1:8" x14ac:dyDescent="0.35">
      <c r="A72" s="5" t="s">
        <v>119</v>
      </c>
      <c r="B72" s="30"/>
      <c r="C72" s="8"/>
      <c r="D72" s="8"/>
      <c r="E72" s="8"/>
      <c r="F72" s="8"/>
      <c r="G72" s="15"/>
      <c r="H72" s="8"/>
    </row>
    <row r="73" spans="1:8" x14ac:dyDescent="0.35">
      <c r="A73" s="5" t="s">
        <v>120</v>
      </c>
      <c r="B73" s="30"/>
      <c r="C73" s="8"/>
      <c r="D73" s="8"/>
      <c r="E73" s="8"/>
      <c r="F73" s="8"/>
      <c r="G73" s="15"/>
      <c r="H73" s="8"/>
    </row>
    <row r="74" spans="1:8" x14ac:dyDescent="0.35">
      <c r="A74" s="5" t="s">
        <v>121</v>
      </c>
      <c r="B74" s="30"/>
      <c r="C74" s="8"/>
      <c r="D74" s="8"/>
      <c r="E74" s="8"/>
      <c r="F74" s="8"/>
      <c r="G74" s="15"/>
      <c r="H74" s="8"/>
    </row>
    <row r="75" spans="1:8" x14ac:dyDescent="0.35">
      <c r="A75" s="5" t="s">
        <v>122</v>
      </c>
      <c r="B75" s="30"/>
      <c r="C75" s="8"/>
      <c r="D75" s="8"/>
      <c r="E75" s="8"/>
      <c r="F75" s="8"/>
      <c r="G75" s="15"/>
      <c r="H75" s="8"/>
    </row>
    <row r="76" spans="1:8" x14ac:dyDescent="0.35">
      <c r="A76" s="5" t="s">
        <v>123</v>
      </c>
      <c r="B76" s="30">
        <f t="shared" ref="B76:G76" si="8">B3*1.5%</f>
        <v>750</v>
      </c>
      <c r="C76" s="8">
        <f t="shared" si="8"/>
        <v>795</v>
      </c>
      <c r="D76" s="8">
        <f t="shared" si="8"/>
        <v>1425</v>
      </c>
      <c r="E76" s="8">
        <f t="shared" si="8"/>
        <v>1635</v>
      </c>
      <c r="F76" s="8">
        <f t="shared" si="8"/>
        <v>1545</v>
      </c>
      <c r="G76" s="8">
        <f t="shared" si="8"/>
        <v>1350</v>
      </c>
      <c r="H76" s="8" t="s">
        <v>172</v>
      </c>
    </row>
    <row r="77" spans="1:8" x14ac:dyDescent="0.35">
      <c r="A77" s="5" t="s">
        <v>124</v>
      </c>
      <c r="B77" s="30"/>
      <c r="C77" s="8"/>
      <c r="D77" s="8"/>
      <c r="E77" s="8"/>
      <c r="F77" s="8"/>
      <c r="G77" s="15"/>
      <c r="H77" s="8"/>
    </row>
    <row r="78" spans="1:8" x14ac:dyDescent="0.35">
      <c r="A78" s="5" t="s">
        <v>125</v>
      </c>
      <c r="B78" s="30"/>
      <c r="C78" s="8"/>
      <c r="D78" s="8"/>
      <c r="E78" s="8"/>
      <c r="F78" s="8"/>
      <c r="G78" s="15"/>
      <c r="H78" s="8"/>
    </row>
    <row r="79" spans="1:8" x14ac:dyDescent="0.35">
      <c r="A79" s="5" t="s">
        <v>126</v>
      </c>
      <c r="B79" s="30"/>
      <c r="C79" s="8"/>
      <c r="D79" s="8"/>
      <c r="E79" s="8"/>
      <c r="F79" s="8"/>
      <c r="G79" s="15"/>
      <c r="H79" s="8"/>
    </row>
    <row r="80" spans="1:8" x14ac:dyDescent="0.35">
      <c r="A80" s="5"/>
      <c r="B80" s="30"/>
      <c r="C80" s="8"/>
      <c r="D80" s="8"/>
      <c r="E80" s="8"/>
      <c r="F80" s="8"/>
      <c r="G80" s="15"/>
      <c r="H80" s="8"/>
    </row>
    <row r="81" spans="1:9" x14ac:dyDescent="0.35">
      <c r="A81" s="5" t="s">
        <v>148</v>
      </c>
      <c r="B81" s="8">
        <f t="shared" ref="B81:G81" si="9">SUM(B7:B80)</f>
        <v>122385.88304666665</v>
      </c>
      <c r="C81" s="8">
        <f t="shared" si="9"/>
        <v>125026.19696666667</v>
      </c>
      <c r="D81" s="8">
        <f t="shared" si="9"/>
        <v>119463.90708</v>
      </c>
      <c r="E81" s="8">
        <f t="shared" si="9"/>
        <v>129063.19262666666</v>
      </c>
      <c r="F81" s="8">
        <f t="shared" si="9"/>
        <v>134668.8022533333</v>
      </c>
      <c r="G81" s="8">
        <f t="shared" si="9"/>
        <v>124199.27574666665</v>
      </c>
      <c r="H81" s="8"/>
      <c r="I81" s="11">
        <f>SUM(B81:G81)</f>
        <v>754807.25771999988</v>
      </c>
    </row>
    <row r="82" spans="1:9" x14ac:dyDescent="0.35">
      <c r="A82" s="5"/>
      <c r="B82" s="8"/>
      <c r="C82" s="8"/>
      <c r="D82" s="8"/>
      <c r="E82" s="8"/>
      <c r="F82" s="8"/>
      <c r="G82" s="15"/>
      <c r="H82" s="8"/>
    </row>
    <row r="83" spans="1:9" x14ac:dyDescent="0.35">
      <c r="A83" s="20" t="s">
        <v>167</v>
      </c>
      <c r="B83" s="21">
        <f>+B5-B81</f>
        <v>-72385.883046666655</v>
      </c>
      <c r="C83" s="21">
        <f t="shared" ref="B83:G83" si="10">+C5-C81</f>
        <v>-72026.19696666667</v>
      </c>
      <c r="D83" s="21">
        <f t="shared" si="10"/>
        <v>-24463.907080000004</v>
      </c>
      <c r="E83" s="21">
        <f t="shared" si="10"/>
        <v>-20063.192626666656</v>
      </c>
      <c r="F83" s="21">
        <f t="shared" si="10"/>
        <v>-31668.802253333299</v>
      </c>
      <c r="G83" s="21">
        <f t="shared" si="10"/>
        <v>-34199.275746666652</v>
      </c>
      <c r="H83" s="8"/>
      <c r="I83" s="11"/>
    </row>
    <row r="84" spans="1:9" x14ac:dyDescent="0.35">
      <c r="A84" s="5"/>
      <c r="B84" s="8"/>
      <c r="C84" s="8"/>
      <c r="D84" s="8"/>
      <c r="E84" s="8"/>
      <c r="F84" s="8"/>
      <c r="G84" s="15"/>
      <c r="H84" s="8"/>
    </row>
    <row r="85" spans="1:9" x14ac:dyDescent="0.35">
      <c r="H85" s="8"/>
    </row>
    <row r="86" spans="1:9" x14ac:dyDescent="0.35">
      <c r="A86" s="20" t="s">
        <v>149</v>
      </c>
      <c r="B86" s="5"/>
      <c r="C86" s="5"/>
      <c r="D86" s="5"/>
      <c r="E86" s="5"/>
      <c r="F86" s="5"/>
      <c r="G86" s="5"/>
      <c r="H86" s="8"/>
    </row>
    <row r="87" spans="1:9" x14ac:dyDescent="0.35">
      <c r="A87" s="7" t="s">
        <v>56</v>
      </c>
      <c r="B87" s="5"/>
      <c r="C87" s="5"/>
      <c r="D87" s="5"/>
      <c r="E87" s="5">
        <f>'licenciement eco'!D6</f>
        <v>10956.02</v>
      </c>
      <c r="F87" s="5">
        <f>'licenciement eco'!D6</f>
        <v>10956.02</v>
      </c>
      <c r="G87" s="5">
        <f>'licenciement eco'!D6</f>
        <v>10956.02</v>
      </c>
      <c r="H87" s="8"/>
    </row>
    <row r="88" spans="1:9" x14ac:dyDescent="0.35">
      <c r="A88" s="5" t="s">
        <v>150</v>
      </c>
      <c r="B88" s="8"/>
      <c r="C88" s="8"/>
      <c r="D88" s="8"/>
      <c r="E88" s="8">
        <f>-'licenciement eco'!G6-'licenciement eco'!H6</f>
        <v>-7141.675673076923</v>
      </c>
      <c r="F88" s="8"/>
      <c r="G88" s="8"/>
      <c r="H88" s="8"/>
    </row>
    <row r="89" spans="1:9" x14ac:dyDescent="0.35">
      <c r="A89" s="7" t="s">
        <v>154</v>
      </c>
      <c r="B89" s="8"/>
      <c r="C89" s="8"/>
      <c r="D89" s="8"/>
      <c r="E89" s="8">
        <f>-'licenciement eco'!I6</f>
        <v>-19940.54</v>
      </c>
      <c r="F89" s="8"/>
      <c r="G89" s="8"/>
      <c r="H89" s="17"/>
    </row>
    <row r="90" spans="1:9" x14ac:dyDescent="0.35">
      <c r="A90" s="7" t="s">
        <v>156</v>
      </c>
      <c r="B90" s="8">
        <f>+'Salaires bruts'!B49</f>
        <v>0</v>
      </c>
      <c r="C90" s="8">
        <f>+'Salaires bruts'!C49</f>
        <v>0</v>
      </c>
      <c r="D90" s="8">
        <f>-'Salaires bruts'!D49</f>
        <v>-15180</v>
      </c>
      <c r="E90" s="8">
        <f>-'Salaires bruts'!E49</f>
        <v>-15580</v>
      </c>
      <c r="F90" s="8">
        <f>-'Salaires bruts'!F49</f>
        <v>-16900</v>
      </c>
      <c r="G90" s="8">
        <f>-'Salaires bruts'!G49</f>
        <v>-17340</v>
      </c>
      <c r="H90" s="8"/>
    </row>
    <row r="92" spans="1:9" x14ac:dyDescent="0.35">
      <c r="A92" s="7" t="s">
        <v>161</v>
      </c>
      <c r="B92" s="8">
        <f>+CA!B16</f>
        <v>0</v>
      </c>
      <c r="C92" s="8">
        <f>+CA!C16</f>
        <v>0</v>
      </c>
      <c r="D92" s="8">
        <f>+CA!D16</f>
        <v>0</v>
      </c>
      <c r="E92" s="8">
        <f>+CA!E16</f>
        <v>10000</v>
      </c>
      <c r="F92" s="8">
        <f>+CA!F16</f>
        <v>43000</v>
      </c>
      <c r="G92" s="8">
        <f>+CA!G16</f>
        <v>54000</v>
      </c>
      <c r="H92" s="8"/>
    </row>
    <row r="94" spans="1:9" x14ac:dyDescent="0.35">
      <c r="A94" s="22" t="s">
        <v>165</v>
      </c>
      <c r="B94" s="23">
        <f>+B92+B87-B88-B89-B90</f>
        <v>0</v>
      </c>
      <c r="C94" s="23">
        <f t="shared" ref="C94" si="11">+C92+C87-C88-C89-C90</f>
        <v>0</v>
      </c>
      <c r="D94" s="23">
        <f>SUM(D86:D92)</f>
        <v>-15180</v>
      </c>
      <c r="E94" s="23">
        <f t="shared" ref="E94:G94" si="12">SUM(E86:E92)</f>
        <v>-21706.195673076923</v>
      </c>
      <c r="F94" s="23">
        <f t="shared" si="12"/>
        <v>37056.020000000004</v>
      </c>
      <c r="G94" s="23">
        <f t="shared" si="12"/>
        <v>47616.020000000004</v>
      </c>
    </row>
    <row r="97" spans="1:7" x14ac:dyDescent="0.35">
      <c r="A97" s="24" t="s">
        <v>166</v>
      </c>
      <c r="B97" s="23">
        <f>+B83+B94</f>
        <v>-72385.883046666655</v>
      </c>
      <c r="C97" s="23">
        <f t="shared" ref="C97:G97" si="13">+C83+C94</f>
        <v>-72026.19696666667</v>
      </c>
      <c r="D97" s="23">
        <f t="shared" si="13"/>
        <v>-39643.907080000004</v>
      </c>
      <c r="E97" s="23">
        <f t="shared" si="13"/>
        <v>-41769.388299743579</v>
      </c>
      <c r="F97" s="23">
        <f t="shared" si="13"/>
        <v>5387.2177466667054</v>
      </c>
      <c r="G97" s="23">
        <f t="shared" si="13"/>
        <v>13416.744253333352</v>
      </c>
    </row>
    <row r="101" spans="1:7" x14ac:dyDescent="0.35">
      <c r="A101" t="s">
        <v>168</v>
      </c>
      <c r="B101">
        <v>109700</v>
      </c>
    </row>
    <row r="103" spans="1:7" x14ac:dyDescent="0.35">
      <c r="A103" t="s">
        <v>174</v>
      </c>
      <c r="B103" s="25">
        <f>+B101/80%</f>
        <v>137125</v>
      </c>
    </row>
  </sheetData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C9D0D-0144-4FF5-9164-EBAF1CBADA65}">
  <dimension ref="A1:H49"/>
  <sheetViews>
    <sheetView workbookViewId="0">
      <selection activeCell="A16" sqref="A16:G16"/>
    </sheetView>
  </sheetViews>
  <sheetFormatPr baseColWidth="10" defaultRowHeight="14.5" x14ac:dyDescent="0.35"/>
  <cols>
    <col min="1" max="1" width="37.54296875" customWidth="1"/>
    <col min="8" max="8" width="26.81640625" bestFit="1" customWidth="1"/>
  </cols>
  <sheetData>
    <row r="1" spans="1:8" x14ac:dyDescent="0.35">
      <c r="A1" t="s">
        <v>130</v>
      </c>
      <c r="B1" t="s">
        <v>12</v>
      </c>
      <c r="C1" t="s">
        <v>13</v>
      </c>
      <c r="D1" t="s">
        <v>14</v>
      </c>
      <c r="E1" t="s">
        <v>18</v>
      </c>
      <c r="F1" t="s">
        <v>16</v>
      </c>
      <c r="G1" t="s">
        <v>19</v>
      </c>
      <c r="H1" t="s">
        <v>38</v>
      </c>
    </row>
    <row r="2" spans="1:8" x14ac:dyDescent="0.35">
      <c r="A2" t="s">
        <v>20</v>
      </c>
    </row>
    <row r="3" spans="1:8" x14ac:dyDescent="0.35">
      <c r="A3" s="5" t="s">
        <v>25</v>
      </c>
      <c r="B3" s="5">
        <v>2019.33</v>
      </c>
      <c r="C3" s="5">
        <v>2019.33</v>
      </c>
      <c r="D3" s="5">
        <v>2019.33</v>
      </c>
      <c r="E3" s="5">
        <v>2019.33</v>
      </c>
      <c r="F3" s="5">
        <v>2019.33</v>
      </c>
      <c r="G3" s="5">
        <v>2019.33</v>
      </c>
    </row>
    <row r="4" spans="1:8" x14ac:dyDescent="0.35">
      <c r="A4" s="5" t="s">
        <v>26</v>
      </c>
      <c r="B4" s="5">
        <v>1766.96</v>
      </c>
      <c r="C4" s="5">
        <v>1766.96</v>
      </c>
      <c r="D4" s="5">
        <v>1766.96</v>
      </c>
      <c r="E4" s="5">
        <v>1766.96</v>
      </c>
      <c r="F4" s="5">
        <v>1766.96</v>
      </c>
      <c r="G4" s="5">
        <v>1766.96</v>
      </c>
    </row>
    <row r="5" spans="1:8" x14ac:dyDescent="0.35">
      <c r="A5" s="5" t="s">
        <v>21</v>
      </c>
      <c r="B5" s="5">
        <v>6533.22</v>
      </c>
      <c r="C5" s="5">
        <v>6533.22</v>
      </c>
      <c r="D5" s="5">
        <v>6533.22</v>
      </c>
      <c r="E5" s="5">
        <v>6533.22</v>
      </c>
      <c r="F5" s="5">
        <v>6533.22</v>
      </c>
      <c r="G5" s="5">
        <v>6533.22</v>
      </c>
    </row>
    <row r="6" spans="1:8" x14ac:dyDescent="0.35">
      <c r="A6" s="5" t="s">
        <v>21</v>
      </c>
      <c r="B6" s="5">
        <v>500</v>
      </c>
      <c r="C6" s="5">
        <v>500</v>
      </c>
      <c r="D6" s="5">
        <v>500</v>
      </c>
      <c r="E6" s="5">
        <v>500</v>
      </c>
      <c r="F6" s="5">
        <v>500</v>
      </c>
      <c r="G6" s="5">
        <v>500</v>
      </c>
    </row>
    <row r="7" spans="1:8" x14ac:dyDescent="0.35">
      <c r="A7" s="5" t="s">
        <v>22</v>
      </c>
      <c r="B7" s="5">
        <v>2300</v>
      </c>
      <c r="C7" s="5">
        <v>2300</v>
      </c>
      <c r="D7" s="5">
        <v>2300</v>
      </c>
      <c r="E7" s="5">
        <v>2300</v>
      </c>
      <c r="F7" s="5">
        <v>2300</v>
      </c>
      <c r="G7" s="5">
        <v>2300</v>
      </c>
    </row>
    <row r="8" spans="1:8" x14ac:dyDescent="0.35">
      <c r="A8" s="5" t="s">
        <v>23</v>
      </c>
      <c r="B8" s="5">
        <v>3834.11</v>
      </c>
      <c r="C8" s="5">
        <v>3834.11</v>
      </c>
      <c r="D8" s="5">
        <v>3834.11</v>
      </c>
      <c r="E8" s="5">
        <v>3834.11</v>
      </c>
      <c r="F8" s="5">
        <v>3834.11</v>
      </c>
      <c r="G8" s="5">
        <v>3834.11</v>
      </c>
    </row>
    <row r="9" spans="1:8" x14ac:dyDescent="0.35">
      <c r="A9" s="5" t="s">
        <v>24</v>
      </c>
      <c r="B9" s="5">
        <v>1378.23</v>
      </c>
      <c r="C9" s="26">
        <v>1378.23</v>
      </c>
      <c r="D9" s="28"/>
      <c r="E9" s="28"/>
      <c r="F9" s="28"/>
      <c r="G9" s="28"/>
    </row>
    <row r="10" spans="1:8" x14ac:dyDescent="0.35">
      <c r="A10" s="5" t="s">
        <v>27</v>
      </c>
      <c r="B10" s="5">
        <v>3333.88</v>
      </c>
      <c r="C10" s="5">
        <v>3333.88</v>
      </c>
      <c r="D10" s="5">
        <v>3333.88</v>
      </c>
      <c r="E10" s="5">
        <v>3333.88</v>
      </c>
      <c r="F10" s="5">
        <v>3333.88</v>
      </c>
      <c r="G10" s="5">
        <v>3333.88</v>
      </c>
    </row>
    <row r="11" spans="1:8" x14ac:dyDescent="0.35">
      <c r="A11" s="5" t="s">
        <v>28</v>
      </c>
      <c r="B11" s="5">
        <v>2139.9699999999998</v>
      </c>
      <c r="C11" s="5">
        <v>2139.9699999999998</v>
      </c>
      <c r="D11" s="5">
        <v>2139.9699999999998</v>
      </c>
      <c r="E11" s="5">
        <v>2139.9699999999998</v>
      </c>
      <c r="F11" s="5">
        <v>2139.9699999999998</v>
      </c>
      <c r="G11" s="5">
        <v>2139.9699999999998</v>
      </c>
    </row>
    <row r="12" spans="1:8" x14ac:dyDescent="0.35">
      <c r="A12" s="5" t="s">
        <v>29</v>
      </c>
      <c r="B12" s="5">
        <v>2950.12</v>
      </c>
      <c r="C12" s="5">
        <v>2950.12</v>
      </c>
      <c r="D12" s="5">
        <v>2950.12</v>
      </c>
      <c r="E12" s="5">
        <v>2950.12</v>
      </c>
      <c r="F12" s="5">
        <v>2950.12</v>
      </c>
      <c r="G12" s="5">
        <v>2950.12</v>
      </c>
    </row>
    <row r="13" spans="1:8" x14ac:dyDescent="0.35">
      <c r="A13" s="5" t="s">
        <v>40</v>
      </c>
      <c r="B13" s="29">
        <v>2019.33</v>
      </c>
      <c r="C13" s="29">
        <v>2019.33</v>
      </c>
      <c r="D13" s="29">
        <v>2019.33</v>
      </c>
      <c r="E13" s="29">
        <v>2019.33</v>
      </c>
      <c r="F13" s="29">
        <v>2019.33</v>
      </c>
      <c r="G13" s="29">
        <v>2019.33</v>
      </c>
    </row>
    <row r="14" spans="1:8" x14ac:dyDescent="0.35">
      <c r="A14" s="5" t="s">
        <v>30</v>
      </c>
      <c r="B14" s="5">
        <v>5166.7</v>
      </c>
      <c r="C14" s="5">
        <v>5166.7</v>
      </c>
      <c r="D14" s="5">
        <v>5166.7</v>
      </c>
      <c r="E14" s="5">
        <v>5166.7</v>
      </c>
      <c r="F14" s="5">
        <v>5166.7</v>
      </c>
      <c r="G14" s="5">
        <v>5166.7</v>
      </c>
    </row>
    <row r="16" spans="1:8" x14ac:dyDescent="0.35">
      <c r="A16" s="5" t="s">
        <v>31</v>
      </c>
      <c r="B16" s="5">
        <f t="shared" ref="B16:F16" si="0">SUM(B3:B15)</f>
        <v>33941.85</v>
      </c>
      <c r="C16" s="26">
        <f t="shared" si="0"/>
        <v>33941.85</v>
      </c>
      <c r="D16" s="5">
        <f t="shared" si="0"/>
        <v>32563.62</v>
      </c>
      <c r="E16" s="5">
        <f t="shared" si="0"/>
        <v>32563.62</v>
      </c>
      <c r="F16" s="5">
        <f t="shared" si="0"/>
        <v>32563.62</v>
      </c>
      <c r="G16" s="5">
        <f t="shared" ref="G16" si="1">SUM(G3:G15)</f>
        <v>32563.62</v>
      </c>
    </row>
    <row r="18" spans="1:8" x14ac:dyDescent="0.35">
      <c r="A18" s="5" t="s">
        <v>143</v>
      </c>
      <c r="B18" s="5"/>
      <c r="C18" s="5"/>
      <c r="D18" s="5"/>
      <c r="E18" s="5"/>
      <c r="F18" s="5"/>
      <c r="G18" s="5"/>
    </row>
    <row r="19" spans="1:8" x14ac:dyDescent="0.35">
      <c r="A19" s="5" t="s">
        <v>37</v>
      </c>
      <c r="B19" s="26">
        <v>2500</v>
      </c>
      <c r="C19" s="26">
        <v>2500</v>
      </c>
      <c r="D19" s="26">
        <v>2500</v>
      </c>
      <c r="E19" s="26">
        <v>2500</v>
      </c>
      <c r="F19" s="26">
        <v>2500</v>
      </c>
      <c r="G19" s="26">
        <v>2500</v>
      </c>
    </row>
    <row r="20" spans="1:8" x14ac:dyDescent="0.35">
      <c r="A20" s="5" t="s">
        <v>45</v>
      </c>
      <c r="B20" s="26">
        <v>2500</v>
      </c>
      <c r="C20" s="26">
        <v>2500</v>
      </c>
      <c r="D20" s="26">
        <v>0</v>
      </c>
      <c r="E20" s="26">
        <v>0</v>
      </c>
      <c r="F20" s="26">
        <v>0</v>
      </c>
      <c r="G20" s="26">
        <v>0</v>
      </c>
    </row>
    <row r="21" spans="1:8" x14ac:dyDescent="0.35">
      <c r="A21" s="5" t="s">
        <v>43</v>
      </c>
      <c r="B21" s="26">
        <v>2500</v>
      </c>
      <c r="C21" s="26">
        <v>2500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35">
      <c r="A22" s="5" t="s">
        <v>34</v>
      </c>
      <c r="B22" s="26">
        <v>2500</v>
      </c>
      <c r="C22" s="26">
        <v>2500</v>
      </c>
      <c r="D22" s="26">
        <v>2500</v>
      </c>
      <c r="E22" s="26">
        <v>2500</v>
      </c>
      <c r="F22" s="26">
        <v>2500</v>
      </c>
      <c r="G22" s="26">
        <v>2500</v>
      </c>
    </row>
    <row r="23" spans="1:8" x14ac:dyDescent="0.35">
      <c r="A23" s="5" t="s">
        <v>35</v>
      </c>
      <c r="B23" s="26">
        <v>2500</v>
      </c>
      <c r="C23" s="26">
        <v>2500</v>
      </c>
      <c r="D23" s="26">
        <v>2500</v>
      </c>
      <c r="E23" s="26">
        <v>2500</v>
      </c>
      <c r="F23" s="26">
        <v>2500</v>
      </c>
      <c r="G23" s="26">
        <v>2500</v>
      </c>
    </row>
    <row r="24" spans="1:8" x14ac:dyDescent="0.35">
      <c r="A24" s="5" t="s">
        <v>36</v>
      </c>
      <c r="B24" s="27"/>
      <c r="C24" s="27"/>
      <c r="D24" s="27"/>
      <c r="E24" s="27"/>
      <c r="F24" s="27"/>
      <c r="G24" s="27"/>
      <c r="H24" t="s">
        <v>39</v>
      </c>
    </row>
    <row r="25" spans="1:8" x14ac:dyDescent="0.35">
      <c r="A25" s="5" t="s">
        <v>32</v>
      </c>
      <c r="B25" s="26">
        <v>2500</v>
      </c>
      <c r="C25" s="26">
        <v>2500</v>
      </c>
      <c r="D25" s="26">
        <v>2500</v>
      </c>
      <c r="E25" s="26">
        <v>2500</v>
      </c>
      <c r="F25" s="26">
        <v>2500</v>
      </c>
      <c r="G25" s="26">
        <v>2500</v>
      </c>
    </row>
    <row r="26" spans="1:8" x14ac:dyDescent="0.35">
      <c r="A26" s="5" t="s">
        <v>44</v>
      </c>
      <c r="B26" s="26">
        <v>2500</v>
      </c>
      <c r="C26" s="26">
        <v>2500</v>
      </c>
      <c r="D26" s="26">
        <v>2500</v>
      </c>
      <c r="E26" s="26">
        <v>2500</v>
      </c>
      <c r="F26" s="26">
        <v>2500</v>
      </c>
      <c r="G26" s="26">
        <v>2500</v>
      </c>
    </row>
    <row r="27" spans="1:8" x14ac:dyDescent="0.35">
      <c r="A27" s="5" t="s">
        <v>46</v>
      </c>
      <c r="B27" s="26">
        <f>2500*11/30</f>
        <v>916.66666666666663</v>
      </c>
      <c r="C27" s="26">
        <f>2500/2</f>
        <v>1250</v>
      </c>
      <c r="D27" s="26">
        <v>2500</v>
      </c>
      <c r="E27" s="26">
        <v>2500</v>
      </c>
      <c r="F27" s="26">
        <v>2500</v>
      </c>
      <c r="G27" s="26">
        <v>2500</v>
      </c>
    </row>
    <row r="28" spans="1:8" x14ac:dyDescent="0.35">
      <c r="B28" s="13"/>
      <c r="C28" s="13"/>
      <c r="D28" s="13"/>
      <c r="E28" s="13"/>
      <c r="F28" s="13"/>
      <c r="G28" s="13"/>
    </row>
    <row r="29" spans="1:8" x14ac:dyDescent="0.35">
      <c r="A29" s="5" t="s">
        <v>145</v>
      </c>
      <c r="B29" s="26">
        <f>SUM(B19:B26)</f>
        <v>17500</v>
      </c>
      <c r="C29" s="26">
        <f t="shared" ref="C29:G29" si="2">SUM(C19:C26)</f>
        <v>17500</v>
      </c>
      <c r="D29" s="26">
        <f t="shared" si="2"/>
        <v>12500</v>
      </c>
      <c r="E29" s="26">
        <f t="shared" si="2"/>
        <v>12500</v>
      </c>
      <c r="F29" s="26">
        <f t="shared" si="2"/>
        <v>12500</v>
      </c>
      <c r="G29" s="26">
        <f t="shared" si="2"/>
        <v>12500</v>
      </c>
    </row>
    <row r="30" spans="1:8" x14ac:dyDescent="0.35">
      <c r="B30" s="13"/>
      <c r="C30" s="13"/>
      <c r="D30" s="13"/>
      <c r="E30" s="13"/>
      <c r="F30" s="13"/>
      <c r="G30" s="13"/>
    </row>
    <row r="31" spans="1:8" x14ac:dyDescent="0.35">
      <c r="A31" s="5" t="s">
        <v>33</v>
      </c>
      <c r="B31" s="26">
        <f>+CA!B8*95%*4%</f>
        <v>2889.2159999999999</v>
      </c>
      <c r="C31" s="26">
        <f>+CA!C8*95%*4%</f>
        <v>2006.4</v>
      </c>
      <c r="D31" s="26">
        <f>+CA!D8*95%*4%</f>
        <v>2126.7840000000001</v>
      </c>
      <c r="E31" s="26">
        <f>+CA!E8*95%*4%</f>
        <v>3812.16</v>
      </c>
      <c r="F31" s="26">
        <f>+CA!F8*95%*4%</f>
        <v>4373.9519999999993</v>
      </c>
      <c r="G31" s="26">
        <f>+CA!G8*95%*4%</f>
        <v>4133.1839999999993</v>
      </c>
    </row>
    <row r="32" spans="1:8" x14ac:dyDescent="0.35">
      <c r="B32" s="13"/>
      <c r="C32" s="13"/>
      <c r="D32" s="13"/>
      <c r="E32" s="13"/>
      <c r="F32" s="13"/>
      <c r="G32" s="13"/>
    </row>
    <row r="33" spans="1:7" x14ac:dyDescent="0.35">
      <c r="A33" s="5" t="s">
        <v>146</v>
      </c>
      <c r="B33" s="26">
        <f>200*7</f>
        <v>1400</v>
      </c>
      <c r="C33" s="26">
        <f t="shared" ref="C33:G33" si="3">200*7</f>
        <v>1400</v>
      </c>
      <c r="D33" s="26">
        <f t="shared" si="3"/>
        <v>1400</v>
      </c>
      <c r="E33" s="26">
        <f t="shared" si="3"/>
        <v>1400</v>
      </c>
      <c r="F33" s="26">
        <f t="shared" si="3"/>
        <v>1400</v>
      </c>
      <c r="G33" s="26">
        <f t="shared" si="3"/>
        <v>1400</v>
      </c>
    </row>
    <row r="34" spans="1:7" x14ac:dyDescent="0.35">
      <c r="B34" s="13"/>
      <c r="C34" s="13"/>
      <c r="D34" s="13"/>
      <c r="E34" s="13"/>
      <c r="F34" s="13"/>
      <c r="G34" s="13"/>
    </row>
    <row r="35" spans="1:7" x14ac:dyDescent="0.35">
      <c r="B35" s="13"/>
      <c r="C35" s="13"/>
      <c r="D35" s="13"/>
      <c r="E35" s="13"/>
      <c r="F35" s="13"/>
      <c r="G35" s="13"/>
    </row>
    <row r="36" spans="1:7" x14ac:dyDescent="0.35">
      <c r="B36" s="13"/>
      <c r="C36" s="13"/>
      <c r="D36" s="13"/>
      <c r="E36" s="13"/>
      <c r="F36" s="13"/>
      <c r="G36" s="13"/>
    </row>
    <row r="37" spans="1:7" x14ac:dyDescent="0.35">
      <c r="B37" s="13"/>
      <c r="C37" s="13"/>
      <c r="D37" s="13"/>
      <c r="E37" s="13"/>
      <c r="F37" s="13"/>
      <c r="G37" s="13"/>
    </row>
    <row r="38" spans="1:7" x14ac:dyDescent="0.35">
      <c r="A38" s="5" t="s">
        <v>185</v>
      </c>
      <c r="B38" s="26"/>
      <c r="C38" s="26"/>
      <c r="D38" s="26">
        <v>2500</v>
      </c>
      <c r="E38" s="26">
        <v>2500</v>
      </c>
      <c r="F38" s="26">
        <v>2500</v>
      </c>
      <c r="G38" s="26">
        <v>2500</v>
      </c>
    </row>
    <row r="39" spans="1:7" x14ac:dyDescent="0.35">
      <c r="A39" s="5" t="s">
        <v>186</v>
      </c>
      <c r="B39" s="26"/>
      <c r="C39" s="26"/>
      <c r="D39" s="26">
        <v>2500</v>
      </c>
      <c r="E39" s="26">
        <v>2500</v>
      </c>
      <c r="F39" s="26">
        <v>2500</v>
      </c>
      <c r="G39" s="26">
        <v>2500</v>
      </c>
    </row>
    <row r="40" spans="1:7" x14ac:dyDescent="0.35">
      <c r="A40" s="5" t="s">
        <v>157</v>
      </c>
      <c r="B40" s="26"/>
      <c r="C40" s="26"/>
      <c r="D40" s="26">
        <v>2500</v>
      </c>
      <c r="E40" s="26">
        <v>2500</v>
      </c>
      <c r="F40" s="26">
        <v>2500</v>
      </c>
      <c r="G40" s="26">
        <v>2500</v>
      </c>
    </row>
    <row r="41" spans="1:7" x14ac:dyDescent="0.35">
      <c r="A41" s="5" t="s">
        <v>178</v>
      </c>
      <c r="B41" s="26"/>
      <c r="C41" s="26"/>
      <c r="D41" s="26">
        <v>2500</v>
      </c>
      <c r="E41" s="26">
        <v>2500</v>
      </c>
      <c r="F41" s="26">
        <v>2500</v>
      </c>
      <c r="G41" s="26">
        <v>2500</v>
      </c>
    </row>
    <row r="42" spans="1:7" x14ac:dyDescent="0.35">
      <c r="B42" s="13"/>
      <c r="C42" s="13"/>
      <c r="D42" s="13"/>
      <c r="E42" s="13"/>
      <c r="F42" s="13"/>
      <c r="G42" s="13"/>
    </row>
    <row r="43" spans="1:7" x14ac:dyDescent="0.35">
      <c r="A43" s="5" t="s">
        <v>158</v>
      </c>
      <c r="B43" s="26">
        <f>SUM(B38:B39)</f>
        <v>0</v>
      </c>
      <c r="C43" s="26">
        <f t="shared" ref="C43" si="4">SUM(C38:C39)</f>
        <v>0</v>
      </c>
      <c r="D43" s="26">
        <f>SUM(D38:D41)</f>
        <v>10000</v>
      </c>
      <c r="E43" s="26">
        <f t="shared" ref="E43:G43" si="5">SUM(E38:E41)</f>
        <v>10000</v>
      </c>
      <c r="F43" s="26">
        <f t="shared" si="5"/>
        <v>10000</v>
      </c>
      <c r="G43" s="26">
        <f t="shared" si="5"/>
        <v>10000</v>
      </c>
    </row>
    <row r="44" spans="1:7" x14ac:dyDescent="0.35">
      <c r="A44" s="5" t="s">
        <v>179</v>
      </c>
      <c r="B44" s="26"/>
      <c r="C44" s="26"/>
      <c r="D44" s="26">
        <f>+D43*10%</f>
        <v>1000</v>
      </c>
      <c r="E44" s="26">
        <f t="shared" ref="E44:G44" si="6">+E43*10%</f>
        <v>1000</v>
      </c>
      <c r="F44" s="26">
        <f t="shared" si="6"/>
        <v>1000</v>
      </c>
      <c r="G44" s="26">
        <f t="shared" si="6"/>
        <v>1000</v>
      </c>
    </row>
    <row r="45" spans="1:7" x14ac:dyDescent="0.35">
      <c r="A45" s="5" t="s">
        <v>159</v>
      </c>
      <c r="B45" s="26">
        <f>+B43*38%</f>
        <v>0</v>
      </c>
      <c r="C45" s="26">
        <f t="shared" ref="C45" si="7">+C43*38%</f>
        <v>0</v>
      </c>
      <c r="D45" s="26">
        <f>+(D43+D44)*38%</f>
        <v>4180</v>
      </c>
      <c r="E45" s="26">
        <f t="shared" ref="E45:G45" si="8">+(E43+E44)*38%</f>
        <v>4180</v>
      </c>
      <c r="F45" s="26">
        <f t="shared" si="8"/>
        <v>4180</v>
      </c>
      <c r="G45" s="26">
        <f t="shared" si="8"/>
        <v>4180</v>
      </c>
    </row>
    <row r="46" spans="1:7" x14ac:dyDescent="0.35">
      <c r="A46" s="5" t="s">
        <v>180</v>
      </c>
      <c r="B46" s="26">
        <f>+CA!B16*4%</f>
        <v>0</v>
      </c>
      <c r="C46" s="26">
        <f>+CA!C16*4%</f>
        <v>0</v>
      </c>
      <c r="D46" s="26">
        <f>+CA!D16*4%</f>
        <v>0</v>
      </c>
      <c r="E46" s="26">
        <f>+CA!E16*4%</f>
        <v>400</v>
      </c>
      <c r="F46" s="26">
        <f>+CA!F16*4%</f>
        <v>1720</v>
      </c>
      <c r="G46" s="26">
        <f>+CA!G16*4%</f>
        <v>2160</v>
      </c>
    </row>
    <row r="47" spans="1:7" x14ac:dyDescent="0.35">
      <c r="B47" s="13"/>
      <c r="C47" s="13"/>
      <c r="D47" s="13"/>
      <c r="E47" s="13"/>
      <c r="F47" s="13"/>
      <c r="G47" s="13"/>
    </row>
    <row r="48" spans="1:7" x14ac:dyDescent="0.35">
      <c r="B48" s="13"/>
      <c r="C48" s="13"/>
      <c r="D48" s="13"/>
      <c r="E48" s="13"/>
      <c r="F48" s="13"/>
      <c r="G48" s="13"/>
    </row>
    <row r="49" spans="1:7" x14ac:dyDescent="0.35">
      <c r="A49" s="5" t="s">
        <v>162</v>
      </c>
      <c r="B49" s="26">
        <f>SUM(B43:B45)</f>
        <v>0</v>
      </c>
      <c r="C49" s="26">
        <f>SUM(C43:C45)</f>
        <v>0</v>
      </c>
      <c r="D49" s="26">
        <f>SUM(D43:D46)</f>
        <v>15180</v>
      </c>
      <c r="E49" s="26">
        <f t="shared" ref="E49:G49" si="9">SUM(E43:E46)</f>
        <v>15580</v>
      </c>
      <c r="F49" s="26">
        <f t="shared" si="9"/>
        <v>16900</v>
      </c>
      <c r="G49" s="26">
        <f t="shared" si="9"/>
        <v>17340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C21E1-8187-4C11-A184-52D3B3AB783D}">
  <dimension ref="A1:H26"/>
  <sheetViews>
    <sheetView workbookViewId="0">
      <selection activeCell="B16" sqref="B16:H16"/>
    </sheetView>
  </sheetViews>
  <sheetFormatPr baseColWidth="10" defaultRowHeight="14.5" x14ac:dyDescent="0.35"/>
  <cols>
    <col min="1" max="1" width="41.81640625" bestFit="1" customWidth="1"/>
    <col min="2" max="2" width="10.54296875" customWidth="1"/>
  </cols>
  <sheetData>
    <row r="1" spans="1:8" x14ac:dyDescent="0.35">
      <c r="B1" s="5" t="s">
        <v>11</v>
      </c>
      <c r="C1" s="5" t="s">
        <v>12</v>
      </c>
      <c r="D1" s="5" t="s">
        <v>13</v>
      </c>
      <c r="E1" s="5" t="s">
        <v>14</v>
      </c>
      <c r="F1" s="12" t="s">
        <v>15</v>
      </c>
      <c r="G1" s="5" t="s">
        <v>16</v>
      </c>
      <c r="H1" s="5" t="s">
        <v>19</v>
      </c>
    </row>
    <row r="2" spans="1:8" x14ac:dyDescent="0.35">
      <c r="A2" s="5" t="s">
        <v>160</v>
      </c>
      <c r="B2" s="5">
        <v>72000</v>
      </c>
      <c r="C2" s="5">
        <v>50000</v>
      </c>
      <c r="D2" s="5">
        <v>50000</v>
      </c>
      <c r="E2" s="5">
        <v>80000</v>
      </c>
      <c r="F2" s="12">
        <v>90000</v>
      </c>
      <c r="G2" s="5">
        <v>85000</v>
      </c>
      <c r="H2" s="5">
        <v>75000</v>
      </c>
    </row>
    <row r="3" spans="1:8" x14ac:dyDescent="0.35">
      <c r="A3" s="5" t="s">
        <v>163</v>
      </c>
      <c r="B3" s="5">
        <v>0</v>
      </c>
      <c r="C3" s="5">
        <v>0</v>
      </c>
      <c r="D3" s="5">
        <v>3000</v>
      </c>
      <c r="E3" s="5">
        <v>15000</v>
      </c>
      <c r="F3" s="5">
        <v>19000</v>
      </c>
      <c r="G3" s="5">
        <v>18000</v>
      </c>
      <c r="H3" s="5">
        <v>15000</v>
      </c>
    </row>
    <row r="4" spans="1:8" x14ac:dyDescent="0.35">
      <c r="A4" s="5" t="s">
        <v>160</v>
      </c>
      <c r="B4" s="5">
        <f>SUM(B2:B3)</f>
        <v>72000</v>
      </c>
      <c r="C4" s="5">
        <f t="shared" ref="C4:H4" si="0">SUM(C2:C3)</f>
        <v>50000</v>
      </c>
      <c r="D4" s="5">
        <f t="shared" si="0"/>
        <v>53000</v>
      </c>
      <c r="E4" s="5">
        <f t="shared" si="0"/>
        <v>95000</v>
      </c>
      <c r="F4" s="5">
        <f t="shared" si="0"/>
        <v>109000</v>
      </c>
      <c r="G4" s="5">
        <f t="shared" si="0"/>
        <v>103000</v>
      </c>
      <c r="H4" s="5">
        <f t="shared" si="0"/>
        <v>90000</v>
      </c>
    </row>
    <row r="6" spans="1:8" x14ac:dyDescent="0.35">
      <c r="A6" s="5" t="s">
        <v>17</v>
      </c>
      <c r="B6" s="5">
        <f>+(B2+B3)*1.2</f>
        <v>86400</v>
      </c>
      <c r="C6" s="5">
        <f t="shared" ref="C6:H6" si="1">+(C2+C3)*1.2</f>
        <v>60000</v>
      </c>
      <c r="D6" s="5">
        <f t="shared" si="1"/>
        <v>63600</v>
      </c>
      <c r="E6" s="5">
        <f t="shared" si="1"/>
        <v>114000</v>
      </c>
      <c r="F6" s="5">
        <f t="shared" si="1"/>
        <v>130800</v>
      </c>
      <c r="G6" s="5">
        <f t="shared" si="1"/>
        <v>123600</v>
      </c>
      <c r="H6" s="5">
        <f t="shared" si="1"/>
        <v>108000</v>
      </c>
    </row>
    <row r="8" spans="1:8" x14ac:dyDescent="0.35">
      <c r="A8" s="5" t="s">
        <v>41</v>
      </c>
      <c r="B8" s="5">
        <f t="shared" ref="B8:G8" si="2">+B6*0.88</f>
        <v>76032</v>
      </c>
      <c r="C8" s="5">
        <f t="shared" si="2"/>
        <v>52800</v>
      </c>
      <c r="D8" s="5">
        <f t="shared" si="2"/>
        <v>55968</v>
      </c>
      <c r="E8" s="5">
        <f t="shared" si="2"/>
        <v>100320</v>
      </c>
      <c r="F8" s="5">
        <f t="shared" si="2"/>
        <v>115104</v>
      </c>
      <c r="G8" s="5">
        <f t="shared" si="2"/>
        <v>108768</v>
      </c>
      <c r="H8" s="5">
        <f t="shared" ref="H8" si="3">+H6*0.88</f>
        <v>95040</v>
      </c>
    </row>
    <row r="12" spans="1:8" x14ac:dyDescent="0.35">
      <c r="A12" s="5" t="s">
        <v>175</v>
      </c>
      <c r="B12" s="8"/>
      <c r="C12" s="5"/>
      <c r="D12" s="5"/>
      <c r="E12" s="5">
        <v>5000</v>
      </c>
      <c r="F12" s="5">
        <v>19000</v>
      </c>
      <c r="G12" s="5">
        <v>18000</v>
      </c>
      <c r="H12" s="5">
        <v>15000</v>
      </c>
    </row>
    <row r="13" spans="1:8" x14ac:dyDescent="0.35">
      <c r="A13" s="5" t="s">
        <v>176</v>
      </c>
      <c r="B13" s="8"/>
      <c r="C13" s="5"/>
      <c r="D13" s="5"/>
      <c r="E13" s="5">
        <v>5000</v>
      </c>
      <c r="F13" s="5">
        <v>19000</v>
      </c>
      <c r="G13" s="5">
        <v>18000</v>
      </c>
      <c r="H13" s="5">
        <v>15000</v>
      </c>
    </row>
    <row r="14" spans="1:8" x14ac:dyDescent="0.35">
      <c r="A14" s="5" t="s">
        <v>184</v>
      </c>
      <c r="B14" s="8"/>
      <c r="C14" s="5"/>
      <c r="D14" s="5"/>
      <c r="E14" s="5"/>
      <c r="F14" s="5">
        <v>5000</v>
      </c>
      <c r="G14" s="5">
        <v>18000</v>
      </c>
      <c r="H14" s="5">
        <v>15000</v>
      </c>
    </row>
    <row r="15" spans="1:8" x14ac:dyDescent="0.35">
      <c r="B15" s="11"/>
    </row>
    <row r="16" spans="1:8" x14ac:dyDescent="0.35">
      <c r="A16" s="5" t="s">
        <v>164</v>
      </c>
      <c r="B16" s="8">
        <f>SUM(B12:B14)</f>
        <v>0</v>
      </c>
      <c r="C16" s="8">
        <f t="shared" ref="C16:H16" si="4">SUM(C12:C14)</f>
        <v>0</v>
      </c>
      <c r="D16" s="8">
        <f t="shared" si="4"/>
        <v>0</v>
      </c>
      <c r="E16" s="8">
        <f t="shared" si="4"/>
        <v>10000</v>
      </c>
      <c r="F16" s="8">
        <f t="shared" si="4"/>
        <v>43000</v>
      </c>
      <c r="G16" s="8">
        <f t="shared" si="4"/>
        <v>54000</v>
      </c>
      <c r="H16" s="8">
        <f t="shared" si="4"/>
        <v>45000</v>
      </c>
    </row>
    <row r="17" spans="2:2" x14ac:dyDescent="0.35">
      <c r="B17" s="11"/>
    </row>
    <row r="18" spans="2:2" x14ac:dyDescent="0.35">
      <c r="B18" s="11"/>
    </row>
    <row r="19" spans="2:2" x14ac:dyDescent="0.35">
      <c r="B19" s="11"/>
    </row>
    <row r="20" spans="2:2" x14ac:dyDescent="0.35">
      <c r="B20" s="11"/>
    </row>
    <row r="21" spans="2:2" x14ac:dyDescent="0.35">
      <c r="B21" s="11"/>
    </row>
    <row r="23" spans="2:2" x14ac:dyDescent="0.35">
      <c r="B23" s="13"/>
    </row>
    <row r="26" spans="2:2" x14ac:dyDescent="0.35">
      <c r="B26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D40A7-FB1D-4FBC-8896-CC7C9FCCD7A6}">
  <dimension ref="A1:I6"/>
  <sheetViews>
    <sheetView workbookViewId="0">
      <selection activeCell="I6" sqref="I6"/>
    </sheetView>
  </sheetViews>
  <sheetFormatPr baseColWidth="10" defaultRowHeight="14.5" x14ac:dyDescent="0.35"/>
  <cols>
    <col min="1" max="1" width="20.81640625" customWidth="1"/>
    <col min="2" max="2" width="12.54296875" customWidth="1"/>
    <col min="3" max="3" width="14.7265625" customWidth="1"/>
    <col min="4" max="5" width="16.26953125" customWidth="1"/>
    <col min="7" max="7" width="16.1796875" customWidth="1"/>
  </cols>
  <sheetData>
    <row r="1" spans="1:9" ht="29" x14ac:dyDescent="0.35">
      <c r="B1" t="s">
        <v>151</v>
      </c>
      <c r="C1" t="s">
        <v>49</v>
      </c>
      <c r="D1" t="s">
        <v>50</v>
      </c>
      <c r="E1" t="s">
        <v>55</v>
      </c>
      <c r="F1" t="s">
        <v>51</v>
      </c>
      <c r="G1" s="19" t="s">
        <v>152</v>
      </c>
      <c r="H1" s="19" t="s">
        <v>153</v>
      </c>
      <c r="I1" t="s">
        <v>155</v>
      </c>
    </row>
    <row r="2" spans="1:9" x14ac:dyDescent="0.35">
      <c r="A2" t="s">
        <v>52</v>
      </c>
      <c r="B2" s="18">
        <v>44806</v>
      </c>
      <c r="C2">
        <v>3333.88</v>
      </c>
      <c r="D2">
        <v>4662.5600000000004</v>
      </c>
      <c r="E2">
        <f>+D2-C2</f>
        <v>1328.6800000000003</v>
      </c>
      <c r="F2">
        <v>2525.44</v>
      </c>
      <c r="G2">
        <f>+C2/4*2</f>
        <v>1666.94</v>
      </c>
      <c r="I2">
        <f>+C2*3</f>
        <v>10001.64</v>
      </c>
    </row>
    <row r="3" spans="1:9" x14ac:dyDescent="0.35">
      <c r="A3" t="s">
        <v>53</v>
      </c>
      <c r="B3" s="18">
        <v>44627</v>
      </c>
      <c r="C3">
        <v>2950.12</v>
      </c>
      <c r="D3">
        <v>4103.9799999999996</v>
      </c>
      <c r="E3">
        <f t="shared" ref="E3:E6" si="0">+D3-C3</f>
        <v>1153.8599999999997</v>
      </c>
      <c r="F3">
        <v>2232.7399999999998</v>
      </c>
      <c r="G3" s="13">
        <f>+C3/4*2+(C3/4*6/12)</f>
        <v>1843.825</v>
      </c>
      <c r="I3">
        <f>+C3*2</f>
        <v>5900.24</v>
      </c>
    </row>
    <row r="4" spans="1:9" x14ac:dyDescent="0.35">
      <c r="A4" t="s">
        <v>54</v>
      </c>
      <c r="B4" s="18">
        <v>44264</v>
      </c>
      <c r="C4">
        <v>2019.33</v>
      </c>
      <c r="D4">
        <v>2189.48</v>
      </c>
      <c r="E4">
        <f t="shared" si="0"/>
        <v>170.15000000000009</v>
      </c>
      <c r="F4">
        <v>1589.63</v>
      </c>
      <c r="G4" s="13">
        <f>+C4/4*3+(C4/4*6/12)</f>
        <v>1766.9137499999999</v>
      </c>
      <c r="H4" s="13">
        <f>24/26*C4</f>
        <v>1863.9969230769232</v>
      </c>
      <c r="I4">
        <f>+C4*2</f>
        <v>4038.66</v>
      </c>
    </row>
    <row r="6" spans="1:9" x14ac:dyDescent="0.35">
      <c r="A6" t="s">
        <v>4</v>
      </c>
      <c r="C6">
        <f>SUM(C2:C5)</f>
        <v>8303.33</v>
      </c>
      <c r="D6">
        <f t="shared" ref="D6:I6" si="1">SUM(D2:D5)</f>
        <v>10956.02</v>
      </c>
      <c r="E6">
        <f t="shared" si="0"/>
        <v>2652.6900000000005</v>
      </c>
      <c r="F6">
        <f t="shared" si="1"/>
        <v>6347.81</v>
      </c>
      <c r="G6" s="13">
        <f t="shared" si="1"/>
        <v>5277.67875</v>
      </c>
      <c r="H6" s="13">
        <f t="shared" si="1"/>
        <v>1863.9969230769232</v>
      </c>
      <c r="I6" s="13">
        <f t="shared" si="1"/>
        <v>19940.54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compte de résultat</vt:lpstr>
      <vt:lpstr>Salaires bruts</vt:lpstr>
      <vt:lpstr>CA</vt:lpstr>
      <vt:lpstr>licenciement 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AngelEyes Achat</dc:creator>
  <cp:lastModifiedBy>Aurélien Blachon</cp:lastModifiedBy>
  <cp:lastPrinted>2024-07-11T13:43:43Z</cp:lastPrinted>
  <dcterms:created xsi:type="dcterms:W3CDTF">2024-05-30T10:53:32Z</dcterms:created>
  <dcterms:modified xsi:type="dcterms:W3CDTF">2024-07-11T13:43:47Z</dcterms:modified>
</cp:coreProperties>
</file>